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2. Plafondroosters\MCAS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C15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F10" i="2"/>
  <c r="F11" i="2"/>
  <c r="F12" i="2"/>
  <c r="F13" i="2"/>
  <c r="F9" i="2"/>
  <c r="D9" i="2"/>
  <c r="D10" i="2"/>
  <c r="D11" i="2"/>
  <c r="D12" i="2"/>
  <c r="D13" i="2"/>
  <c r="C10" i="2"/>
  <c r="C11" i="2"/>
  <c r="C12" i="2"/>
  <c r="C13" i="2"/>
  <c r="C9" i="2"/>
  <c r="I17" i="2" l="1"/>
  <c r="J16" i="2"/>
  <c r="I14" i="2"/>
  <c r="J14" i="2"/>
  <c r="I15" i="2"/>
  <c r="J15" i="2"/>
  <c r="I21" i="2"/>
  <c r="I22" i="2"/>
  <c r="I16" i="2" l="1"/>
  <c r="I20" i="2"/>
  <c r="I18" i="2"/>
  <c r="J22" i="2"/>
  <c r="I29" i="2"/>
  <c r="J17" i="2"/>
  <c r="J20" i="2"/>
  <c r="I31" i="2"/>
  <c r="I27" i="2"/>
  <c r="I26" i="2"/>
  <c r="J21" i="2"/>
  <c r="J18" i="2"/>
  <c r="I32" i="2"/>
  <c r="I30" i="2"/>
  <c r="I28" i="2"/>
  <c r="B6" i="2"/>
  <c r="B21" i="2" s="1"/>
  <c r="J26" i="2" l="1"/>
  <c r="J29" i="2"/>
  <c r="J32" i="2"/>
  <c r="J28" i="2"/>
  <c r="J27" i="2"/>
  <c r="J30" i="2"/>
  <c r="J31" i="2"/>
  <c r="B22" i="2"/>
  <c r="D14" i="2" l="1"/>
  <c r="F14" i="2"/>
  <c r="G14" i="2"/>
  <c r="H14" i="2"/>
  <c r="D15" i="2"/>
  <c r="G15" i="2"/>
  <c r="H15" i="2"/>
  <c r="C14" i="2"/>
  <c r="A23" i="3" l="1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1" i="2" l="1"/>
  <c r="G22" i="2"/>
  <c r="F22" i="2"/>
  <c r="F21" i="2"/>
  <c r="C21" i="2"/>
  <c r="C22" i="2"/>
  <c r="D21" i="2"/>
  <c r="D22" i="2"/>
  <c r="H18" i="2"/>
  <c r="H22" i="2"/>
  <c r="H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7" i="2"/>
  <c r="F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D17" i="2"/>
  <c r="I27" i="3"/>
  <c r="I26" i="3"/>
  <c r="I25" i="3"/>
  <c r="I24" i="3"/>
  <c r="I28" i="3"/>
  <c r="I29" i="3"/>
  <c r="H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G17" i="2"/>
  <c r="H20" i="2"/>
  <c r="H16" i="2"/>
  <c r="E29" i="3"/>
  <c r="E26" i="3"/>
  <c r="E24" i="3"/>
  <c r="E27" i="3"/>
  <c r="E28" i="3"/>
  <c r="E25" i="3"/>
  <c r="D18" i="2"/>
  <c r="F18" i="2"/>
  <c r="D20" i="2"/>
  <c r="G18" i="2"/>
  <c r="G20" i="2"/>
  <c r="G16" i="2"/>
  <c r="C18" i="2"/>
  <c r="F16" i="2"/>
  <c r="C16" i="2"/>
  <c r="C20" i="2"/>
  <c r="F20" i="2"/>
  <c r="D16" i="2"/>
  <c r="J19" i="2" l="1"/>
  <c r="I19" i="2"/>
  <c r="D26" i="2"/>
  <c r="D19" i="2"/>
  <c r="F19" i="2"/>
  <c r="C26" i="2"/>
  <c r="G26" i="2"/>
  <c r="H28" i="2"/>
  <c r="C19" i="2"/>
  <c r="F30" i="2"/>
  <c r="H19" i="2"/>
  <c r="H26" i="2"/>
  <c r="H31" i="2"/>
  <c r="H29" i="2"/>
  <c r="H27" i="2"/>
  <c r="H32" i="2"/>
  <c r="D31" i="2"/>
  <c r="C30" i="2"/>
  <c r="H30" i="2"/>
  <c r="G31" i="2"/>
  <c r="G29" i="2"/>
  <c r="D29" i="2"/>
  <c r="D27" i="2"/>
  <c r="F28" i="2"/>
  <c r="F26" i="2"/>
  <c r="C28" i="2"/>
  <c r="C27" i="2"/>
  <c r="G27" i="2"/>
  <c r="G32" i="2"/>
  <c r="D32" i="2"/>
  <c r="D30" i="2"/>
  <c r="F31" i="2"/>
  <c r="F29" i="2"/>
  <c r="C29" i="2"/>
  <c r="C32" i="2"/>
  <c r="G30" i="2"/>
  <c r="G28" i="2"/>
  <c r="D28" i="2"/>
  <c r="F27" i="2"/>
  <c r="F32" i="2"/>
  <c r="C31" i="2"/>
  <c r="G19" i="2"/>
</calcChain>
</file>

<file path=xl/sharedStrings.xml><?xml version="1.0" encoding="utf-8"?>
<sst xmlns="http://schemas.openxmlformats.org/spreadsheetml/2006/main" count="144" uniqueCount="84">
  <si>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</si>
  <si>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</si>
  <si>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</si>
  <si>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</si>
  <si>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</si>
  <si>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</si>
  <si>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</si>
  <si>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</si>
  <si>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</si>
  <si>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</si>
  <si>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</si>
  <si>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</si>
  <si>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</si>
  <si>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</si>
  <si>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</si>
  <si>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</si>
  <si>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</si>
  <si>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</si>
  <si>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</si>
  <si>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</si>
  <si>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</si>
  <si>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</si>
  <si>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</si>
  <si>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</si>
  <si>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</si>
  <si>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</si>
  <si>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</si>
  <si>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</si>
  <si>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</si>
  <si>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</si>
  <si>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</si>
  <si>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</si>
  <si>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</si>
  <si>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</si>
  <si>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</si>
  <si>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</si>
  <si>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</si>
  <si>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</si>
  <si>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</si>
  <si>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</si>
  <si>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</si>
  <si>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</si>
  <si>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</si>
  <si>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</si>
  <si>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</si>
  <si>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</si>
  <si>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</si>
  <si>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</si>
  <si>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</si>
  <si>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</si>
  <si>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</si>
  <si>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</si>
  <si>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</si>
  <si>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</si>
  <si>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</si>
  <si>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</si>
  <si>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</si>
  <si>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</si>
  <si>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</si>
  <si>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</si>
  <si>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</si>
  <si>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</si>
  <si>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</si>
  <si>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</si>
  <si>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/>
  </si>
  <si>
    <t>Nominal Size</t>
  </si>
  <si>
    <t>Plenum</t>
  </si>
  <si>
    <t>Ø Spigot</t>
  </si>
  <si>
    <t>Damper position</t>
  </si>
  <si>
    <t>100% (open)</t>
  </si>
  <si>
    <t>MCWS 125 294</t>
  </si>
  <si>
    <t>MCWS 160 294</t>
  </si>
  <si>
    <t>MCWS 125 594</t>
  </si>
  <si>
    <t>MCWS 160 594</t>
  </si>
  <si>
    <t>MCWS 200 594</t>
  </si>
  <si>
    <t>MCWS 250 594</t>
  </si>
  <si>
    <t>MCWS 315 594</t>
  </si>
  <si>
    <t>MCAS 100 294</t>
  </si>
  <si>
    <t>MCAS 125 294</t>
  </si>
  <si>
    <t>MCAS 125 594</t>
  </si>
  <si>
    <t>MCAS 160 594</t>
  </si>
  <si>
    <t>MCAS 200 594</t>
  </si>
  <si>
    <t>MCAS 250 594</t>
  </si>
  <si>
    <t>MCAS 100 594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</si>
</sst>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2</xdr:row>
      <xdr:rowOff>19050</xdr:rowOff>
    </xdr:from>
    <xdr:to>
      <xdr:col>9</xdr:col>
      <xdr:colOff>337944</xdr:colOff>
      <xdr:row>5</xdr:row>
      <xdr:rowOff>161924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447675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C2" sqref="C2"/>
    </sheetView>
  </sheetViews>
  <sheetFormatPr defaultRowHeight="15" x14ac:dyDescent="0.25"/>
  <cols>
    <col min="1" max="1" width="26.5703125" customWidth="1"/>
    <col min="2" max="4" width="15.140625" customWidth="1"/>
    <col min="5" max="5" width="3.85546875" style="73" customWidth="1"/>
    <col min="6" max="10" width="15.140625" customWidth="1"/>
  </cols>
  <sheetData>
    <row r="1" spans="1:10" ht="21" x14ac:dyDescent="0.35">
      <c r="A1" s="6" t="s">
        <v>11</v>
      </c>
    </row>
    <row r="2" spans="1:10" s="58" customFormat="1" ht="12.75" x14ac:dyDescent="0.2">
      <c r="A2" s="56" t="s">
        <v>21</v>
      </c>
      <c r="B2" s="57" t="s">
        <v>12</v>
      </c>
      <c r="C2" s="72">
        <v>150</v>
      </c>
      <c r="E2" s="74"/>
    </row>
    <row r="3" spans="1:10" s="58" customFormat="1" ht="14.25" x14ac:dyDescent="0.25">
      <c r="A3" s="56" t="s">
        <v>48</v>
      </c>
      <c r="B3" s="57" t="s">
        <v>14</v>
      </c>
      <c r="C3" s="72">
        <v>2</v>
      </c>
      <c r="E3" s="74"/>
    </row>
    <row r="4" spans="1:10" s="58" customFormat="1" ht="14.25" x14ac:dyDescent="0.25">
      <c r="A4" s="56" t="s">
        <v>49</v>
      </c>
      <c r="B4" s="57" t="s">
        <v>20</v>
      </c>
      <c r="C4" s="72">
        <v>16</v>
      </c>
      <c r="E4" s="74"/>
    </row>
    <row r="5" spans="1:10" s="58" customFormat="1" ht="14.25" x14ac:dyDescent="0.25">
      <c r="A5" s="56" t="s">
        <v>50</v>
      </c>
      <c r="B5" s="57" t="s">
        <v>20</v>
      </c>
      <c r="C5" s="72">
        <v>26</v>
      </c>
      <c r="E5" s="74"/>
    </row>
    <row r="6" spans="1:10" s="58" customFormat="1" ht="12.75" x14ac:dyDescent="0.2">
      <c r="A6" s="56" t="s">
        <v>60</v>
      </c>
      <c r="B6" s="57" t="str">
        <f>CONCATENATE("[",C7,"]")</f>
        <v>[dB(A)]</v>
      </c>
      <c r="C6" s="72">
        <v>8</v>
      </c>
      <c r="E6" s="74"/>
    </row>
    <row r="7" spans="1:10" s="58" customFormat="1" ht="12.75" x14ac:dyDescent="0.2">
      <c r="A7" s="56" t="s">
        <v>61</v>
      </c>
      <c r="B7" s="57"/>
      <c r="C7" s="72" t="s">
        <v>58</v>
      </c>
      <c r="E7" s="74"/>
    </row>
    <row r="8" spans="1:10" s="58" customFormat="1" ht="12.75" x14ac:dyDescent="0.2">
      <c r="E8" s="74"/>
    </row>
    <row r="9" spans="1:10" s="58" customFormat="1" ht="12.75" x14ac:dyDescent="0.2">
      <c r="B9" s="59" t="s">
        <v>24</v>
      </c>
      <c r="C9" s="29" t="str">
        <f>IF(ISBLANK(TechData!D1),"",TechData!D1)</f>
        <v>MCWS 125 294</v>
      </c>
      <c r="D9" s="29" t="str">
        <f>IF(ISBLANK(TechData!E1),"",TechData!E1)</f>
        <v>MCWS 160 294</v>
      </c>
      <c r="E9" s="75"/>
      <c r="F9" s="29" t="str">
        <f>IF(ISBLANK(TechData!F1),"",TechData!F1)</f>
        <v>MCWS 125 594</v>
      </c>
      <c r="G9" s="29" t="str">
        <f>IF(ISBLANK(TechData!G1),"",TechData!G1)</f>
        <v>MCWS 160 594</v>
      </c>
      <c r="H9" s="29" t="str">
        <f>IF(ISBLANK(TechData!H1),"",TechData!H1)</f>
        <v>MCWS 200 594</v>
      </c>
      <c r="I9" s="29" t="str">
        <f>IF(ISBLANK(TechData!I1),"",TechData!I1)</f>
        <v>MCWS 250 594</v>
      </c>
      <c r="J9" s="30" t="str">
        <f>IF(ISBLANK(TechData!J1),"",TechData!J1)</f>
        <v>MCWS 315 594</v>
      </c>
    </row>
    <row r="10" spans="1:10" s="58" customFormat="1" ht="12.75" x14ac:dyDescent="0.2">
      <c r="B10" s="59" t="s">
        <v>65</v>
      </c>
      <c r="C10" s="29">
        <f>IF(ISBLANK(TechData!D2),"",TechData!D2)</f>
        <v>125</v>
      </c>
      <c r="D10" s="29">
        <f>IF(ISBLANK(TechData!E2),"",TechData!E2)</f>
        <v>160</v>
      </c>
      <c r="E10" s="75"/>
      <c r="F10" s="29">
        <f>IF(ISBLANK(TechData!F2),"",TechData!F2)</f>
        <v>125</v>
      </c>
      <c r="G10" s="29">
        <f>IF(ISBLANK(TechData!G2),"",TechData!G2)</f>
        <v>160</v>
      </c>
      <c r="H10" s="29">
        <f>IF(ISBLANK(TechData!H2),"",TechData!H2)</f>
        <v>200</v>
      </c>
      <c r="I10" s="29">
        <f>IF(ISBLANK(TechData!I2),"",TechData!I2)</f>
        <v>250</v>
      </c>
      <c r="J10" s="30">
        <f>IF(ISBLANK(TechData!J2),"",TechData!J2)</f>
        <v>315</v>
      </c>
    </row>
    <row r="11" spans="1:10" s="58" customFormat="1" ht="12.75" x14ac:dyDescent="0.2">
      <c r="B11" s="59" t="s">
        <v>66</v>
      </c>
      <c r="C11" s="29" t="str">
        <f>IF(ISBLANK(TechData!D3),"",TechData!D3)</f>
        <v>MCAS 100 294</v>
      </c>
      <c r="D11" s="29" t="str">
        <f>IF(ISBLANK(TechData!E3),"",TechData!E3)</f>
        <v>MCAS 125 294</v>
      </c>
      <c r="E11" s="75"/>
      <c r="F11" s="29" t="str">
        <f>IF(ISBLANK(TechData!F3),"",TechData!F3)</f>
        <v>MCAS 100 594</v>
      </c>
      <c r="G11" s="29" t="str">
        <f>IF(ISBLANK(TechData!G3),"",TechData!G3)</f>
        <v>MCAS 125 594</v>
      </c>
      <c r="H11" s="29" t="str">
        <f>IF(ISBLANK(TechData!H3),"",TechData!H3)</f>
        <v>MCAS 160 594</v>
      </c>
      <c r="I11" s="29" t="str">
        <f>IF(ISBLANK(TechData!I3),"",TechData!I3)</f>
        <v>MCAS 200 594</v>
      </c>
      <c r="J11" s="30" t="str">
        <f>IF(ISBLANK(TechData!J3),"",TechData!J3)</f>
        <v>MCAS 250 594</v>
      </c>
    </row>
    <row r="12" spans="1:10" s="58" customFormat="1" ht="12.75" x14ac:dyDescent="0.2">
      <c r="B12" s="59" t="s">
        <v>67</v>
      </c>
      <c r="C12" s="29">
        <f>IF(ISBLANK(TechData!D4),"",TechData!D4)</f>
        <v>100</v>
      </c>
      <c r="D12" s="29">
        <f>IF(ISBLANK(TechData!E4),"",TechData!E4)</f>
        <v>125</v>
      </c>
      <c r="E12" s="75"/>
      <c r="F12" s="29">
        <f>IF(ISBLANK(TechData!F4),"",TechData!F4)</f>
        <v>100</v>
      </c>
      <c r="G12" s="29">
        <f>IF(ISBLANK(TechData!G4),"",TechData!G4)</f>
        <v>125</v>
      </c>
      <c r="H12" s="29">
        <f>IF(ISBLANK(TechData!H4),"",TechData!H4)</f>
        <v>160</v>
      </c>
      <c r="I12" s="29">
        <f>IF(ISBLANK(TechData!I4),"",TechData!I4)</f>
        <v>200</v>
      </c>
      <c r="J12" s="30">
        <f>IF(ISBLANK(TechData!J4),"",TechData!J4)</f>
        <v>250</v>
      </c>
    </row>
    <row r="13" spans="1:10" s="58" customFormat="1" ht="12.75" x14ac:dyDescent="0.2">
      <c r="B13" s="59" t="s">
        <v>68</v>
      </c>
      <c r="C13" s="29" t="str">
        <f>IF(ISBLANK(TechData!D5),"",TechData!D5)</f>
        <v>100% (open)</v>
      </c>
      <c r="D13" s="29" t="str">
        <f>IF(ISBLANK(TechData!E5),"",TechData!E5)</f>
        <v>100% (open)</v>
      </c>
      <c r="E13" s="75"/>
      <c r="F13" s="29" t="str">
        <f>IF(ISBLANK(TechData!F5),"",TechData!F5)</f>
        <v>100% (open)</v>
      </c>
      <c r="G13" s="29" t="str">
        <f>IF(ISBLANK(TechData!G5),"",TechData!G5)</f>
        <v>100% (open)</v>
      </c>
      <c r="H13" s="29" t="str">
        <f>IF(ISBLANK(TechData!H5),"",TechData!H5)</f>
        <v>100% (open)</v>
      </c>
      <c r="I13" s="29" t="str">
        <f>IF(ISBLANK(TechData!I5),"",TechData!I5)</f>
        <v>100% (open)</v>
      </c>
      <c r="J13" s="30" t="str">
        <f>IF(ISBLANK(TechData!J5),"",TechData!J5)</f>
        <v>100% (open)</v>
      </c>
    </row>
    <row r="14" spans="1:10" s="58" customFormat="1" ht="14.25" x14ac:dyDescent="0.25">
      <c r="A14" s="60" t="s">
        <v>56</v>
      </c>
      <c r="B14" s="57" t="s">
        <v>13</v>
      </c>
      <c r="C14" s="62">
        <f>$C$2/3600/TechData!D13</f>
        <v>5.3051647697298439</v>
      </c>
      <c r="D14" s="62">
        <f>$C$2/3600/TechData!E13</f>
        <v>3.3953054526271003</v>
      </c>
      <c r="E14" s="76"/>
      <c r="F14" s="62">
        <f>$C$2/3600/TechData!F13</f>
        <v>5.3051647697298439</v>
      </c>
      <c r="G14" s="62">
        <f>$C$2/3600/TechData!G13</f>
        <v>3.3953054526271003</v>
      </c>
      <c r="H14" s="62">
        <f>$C$2/3600/TechData!H13</f>
        <v>2.0723299881757207</v>
      </c>
      <c r="I14" s="62">
        <f>$C$2/3600/TechData!I13</f>
        <v>1.326291192432461</v>
      </c>
      <c r="J14" s="62">
        <f>$C$2/3600/TechData!J13</f>
        <v>0.84882636315677507</v>
      </c>
    </row>
    <row r="15" spans="1:10" s="58" customFormat="1" ht="14.25" x14ac:dyDescent="0.25">
      <c r="A15" s="60" t="s">
        <v>57</v>
      </c>
      <c r="B15" s="57" t="s">
        <v>13</v>
      </c>
      <c r="C15" s="62">
        <f>$C$2/3600/TechData!D7</f>
        <v>6.1097952767437134</v>
      </c>
      <c r="D15" s="62">
        <f>$C$2/3600/TechData!E7</f>
        <v>4.4532881244040023</v>
      </c>
      <c r="E15" s="76"/>
      <c r="F15" s="62">
        <f>$C$2/3600/TechData!F7</f>
        <v>2.0040056208294117</v>
      </c>
      <c r="G15" s="62">
        <f>$C$2/3600/TechData!G7</f>
        <v>1.5552362059913372</v>
      </c>
      <c r="H15" s="62">
        <f>$C$2/3600/TechData!H7</f>
        <v>1.1640317903486725</v>
      </c>
      <c r="I15" s="62">
        <f>$C$2/3600/TechData!I7</f>
        <v>0.81035524102270085</v>
      </c>
      <c r="J15" s="62">
        <f>$C$2/3600/TechData!J7</f>
        <v>0.50605675984394505</v>
      </c>
    </row>
    <row r="16" spans="1:10" s="58" customFormat="1" ht="14.25" x14ac:dyDescent="0.25">
      <c r="A16" s="60" t="s">
        <v>51</v>
      </c>
      <c r="B16" s="57" t="s">
        <v>15</v>
      </c>
      <c r="C16" s="61">
        <f>IF(C9="","",IF(ISBLANK(TechData!D11),"-",IF((SelectionData!$C$2/TechData!D11)^(1/TechData!D12)&lt;1,"&lt;1",(SelectionData!$C$2/TechData!D11)^(1/TechData!D12))))</f>
        <v>92.747212064373684</v>
      </c>
      <c r="D16" s="61">
        <f>IF(D9="","",IF(ISBLANK(TechData!E11),"-",IF((SelectionData!$C$2/TechData!E11)^(1/TechData!E12)&lt;1,"&lt;1",(SelectionData!$C$2/TechData!E11)^(1/TechData!E12))))</f>
        <v>30.638674284488928</v>
      </c>
      <c r="E16" s="77"/>
      <c r="F16" s="61">
        <f>IF(F9="","",IF(ISBLANK(TechData!F11),"-",IF((SelectionData!$C$2/TechData!F11)^(1/TechData!F12)&lt;1,"&lt;1",(SelectionData!$C$2/TechData!F11)^(1/TechData!F12))))</f>
        <v>92.539674174402748</v>
      </c>
      <c r="G16" s="61">
        <f>IF(G9="","",IF(ISBLANK(TechData!G11),"-",IF((SelectionData!$C$2/TechData!G11)^(1/TechData!G12)&lt;1,"&lt;1",(SelectionData!$C$2/TechData!G11)^(1/TechData!G12))))</f>
        <v>34.904912755436804</v>
      </c>
      <c r="H16" s="61">
        <f>IF(H9="","",IF(ISBLANK(TechData!H11),"-",IF((SelectionData!$C$2/TechData!H11)^(1/TechData!H12)&lt;1,"&lt;1",(SelectionData!$C$2/TechData!H11)^(1/TechData!H12))))</f>
        <v>12.335444784281954</v>
      </c>
      <c r="I16" s="61">
        <f>IF(I9="","",IF(ISBLANK(TechData!I11),"-",IF((SelectionData!$C$2/TechData!I11)^(1/TechData!I12)&lt;1,"&lt;1",(SelectionData!$C$2/TechData!I11)^(1/TechData!I12))))</f>
        <v>5.6703351133139606</v>
      </c>
      <c r="J16" s="61">
        <f>IF(J9="","",IF(ISBLANK(TechData!J11),"-",IF((SelectionData!$C$2/TechData!J11)^(1/TechData!J12)&lt;1,"&lt;1",(SelectionData!$C$2/TechData!J11)^(1/TechData!J12))))</f>
        <v>2.195359331228103</v>
      </c>
    </row>
    <row r="17" spans="1:10" s="58" customFormat="1" ht="14.25" x14ac:dyDescent="0.25">
      <c r="A17" s="60" t="s">
        <v>52</v>
      </c>
      <c r="B17" s="57" t="s">
        <v>15</v>
      </c>
      <c r="C17" s="61">
        <f>IF(C9="","",IF(ISBLANK(TechData!D11),"-",IF((SelectionData!$C$2/TechData!D11)^(1/TechData!D12)+0.5*1.2*($C$2/3600/TechData!D13)^2&lt;1,"&lt;1",(SelectionData!$C$2/TechData!D11)^(1/TechData!D12)+0.5*1.2*($C$2/3600/TechData!D13)^2)))</f>
        <v>109.6340760047633</v>
      </c>
      <c r="D17" s="61">
        <f>IF(D9="","",IF(ISBLANK(TechData!E11),"-",IF((SelectionData!$C$2/TechData!E11)^(1/TechData!E12)+0.5*1.2*($C$2/3600/TechData!E13)^2&lt;1,"&lt;1",(SelectionData!$C$2/TechData!E11)^(1/TechData!E12)+0.5*1.2*($C$2/3600/TechData!E13)^2)))</f>
        <v>37.555533754472521</v>
      </c>
      <c r="E17" s="77"/>
      <c r="F17" s="61">
        <f>IF(F9="","",IF(ISBLANK(TechData!F11),"-",IF((SelectionData!$C$2/TechData!F11)^(1/TechData!F12)+0.5*1.2*($C$2/3600/TechData!F13)^2&lt;1,"&lt;1",(SelectionData!$C$2/TechData!F11)^(1/TechData!F12)+0.5*1.2*($C$2/3600/TechData!F13)^2)))</f>
        <v>109.42653811479238</v>
      </c>
      <c r="G17" s="61">
        <f>IF(G9="","",IF(ISBLANK(TechData!G11),"-",IF((SelectionData!$C$2/TechData!G11)^(1/TechData!G12)+0.5*1.2*($C$2/3600/TechData!G13)^2&lt;1,"&lt;1",(SelectionData!$C$2/TechData!G11)^(1/TechData!G12)+0.5*1.2*($C$2/3600/TechData!G13)^2)))</f>
        <v>41.821772225420396</v>
      </c>
      <c r="H17" s="61">
        <f>IF(H9="","",IF(ISBLANK(TechData!H11),"-",IF((SelectionData!$C$2/TechData!H11)^(1/TechData!H12)+0.5*1.2*($C$2/3600/TechData!H13)^2&lt;1,"&lt;1",(SelectionData!$C$2/TechData!H11)^(1/TechData!H12)+0.5*1.2*($C$2/3600/TechData!H13)^2)))</f>
        <v>14.912175732217383</v>
      </c>
      <c r="I17" s="61">
        <f>IF(I9="","",IF(ISBLANK(TechData!I11),"-",IF((SelectionData!$C$2/TechData!I11)^(1/TechData!I12)+0.5*1.2*($C$2/3600/TechData!I13)^2&lt;1,"&lt;1",(SelectionData!$C$2/TechData!I11)^(1/TechData!I12)+0.5*1.2*($C$2/3600/TechData!I13)^2)))</f>
        <v>6.7257641095883116</v>
      </c>
      <c r="J17" s="61">
        <f>IF(J9="","",IF(ISBLANK(TechData!J11),"-",IF((SelectionData!$C$2/TechData!J11)^(1/TechData!J12)+0.5*1.2*($C$2/3600/TechData!J13)^2&lt;1,"&lt;1",(SelectionData!$C$2/TechData!J11)^(1/TechData!J12)+0.5*1.2*($C$2/3600/TechData!J13)^2)))</f>
        <v>2.6276630481020775</v>
      </c>
    </row>
    <row r="18" spans="1:10" s="58" customFormat="1" ht="14.25" x14ac:dyDescent="0.25">
      <c r="A18" s="60" t="s">
        <v>53</v>
      </c>
      <c r="B18" s="57" t="s">
        <v>13</v>
      </c>
      <c r="C18" s="64">
        <f>IF(C9="","",IF(ISBLANK(TechData!D8),"-",IF(($C$2/3600/TechData!D7)*TechData!D8*SQRT(TechData!D7)/(SelectionData!$C$3-TechData!D9)&gt;0.75,"&gt;0.75",($C$2/3600/TechData!D7)*TechData!D8*SQRT(TechData!D7)/(SelectionData!$C$3-TechData!D9))))</f>
        <v>0.23078576019482425</v>
      </c>
      <c r="D18" s="64">
        <f>IF(D9="","",IF(ISBLANK(TechData!E8),"-",IF(($C$2/3600/TechData!E7)*TechData!E8*SQRT(TechData!E7)/(SelectionData!$C$3-TechData!E9)&gt;0.75,"&gt;0.75",($C$2/3600/TechData!E7)*TechData!E8*SQRT(TechData!E7)/(SelectionData!$C$3-TechData!E9))))</f>
        <v>0.17923682193209395</v>
      </c>
      <c r="E18" s="78"/>
      <c r="F18" s="64">
        <f>IF(F9="","",IF(ISBLANK(TechData!F8),"-",IF(($C$2/3600/TechData!F7)*TechData!F8*SQRT(TechData!F7)/(SelectionData!$C$3-TechData!F9)&gt;0.75,"&gt;0.75",($C$2/3600/TechData!F7)*TechData!F8*SQRT(TechData!F7)/(SelectionData!$C$3-TechData!F9))))</f>
        <v>0.17083738489169722</v>
      </c>
      <c r="G18" s="64">
        <f>IF(G9="","",IF(ISBLANK(TechData!G8),"-",IF(($C$2/3600/TechData!G7)*TechData!G8*SQRT(TechData!G7)/(SelectionData!$C$3-TechData!G9)&gt;0.75,"&gt;0.75",($C$2/3600/TechData!G7)*TechData!G8*SQRT(TechData!G7)/(SelectionData!$C$3-TechData!G9))))</f>
        <v>0.15068783170755989</v>
      </c>
      <c r="H18" s="64">
        <f>IF(H9="","",IF(ISBLANK(TechData!H8),"-",IF(($C$2/3600/TechData!H7)*TechData!H8*SQRT(TechData!H7)/(SelectionData!$C$3-TechData!H9)&gt;0.75,"&gt;0.75",($C$2/3600/TechData!H7)*TechData!H8*SQRT(TechData!H7)/(SelectionData!$C$3-TechData!H9))))</f>
        <v>0.13061226964926084</v>
      </c>
      <c r="I18" s="64">
        <f>IF(I9="","",IF(ISBLANK(TechData!I8),"-",IF(($C$2/3600/TechData!I7)*TechData!I8*SQRT(TechData!I7)/(SelectionData!$C$3-TechData!I9)&gt;0.75,"&gt;0.75",($C$2/3600/TechData!I7)*TechData!I8*SQRT(TechData!I7)/(SelectionData!$C$3-TechData!I9))))</f>
        <v>0.10933732534759028</v>
      </c>
      <c r="J18" s="64">
        <f>IF(J9="","",IF(ISBLANK(TechData!J8),"-",IF(($C$2/3600/TechData!J7)*TechData!J8*SQRT(TechData!J7)/(SelectionData!$C$3-TechData!J9)&gt;0.75,"&gt;0.75",($C$2/3600/TechData!J7)*TechData!J8*SQRT(TechData!J7)/(SelectionData!$C$3-TechData!J9))))</f>
        <v>8.6970644363157643E-2</v>
      </c>
    </row>
    <row r="19" spans="1:10" s="58" customFormat="1" ht="12.75" x14ac:dyDescent="0.2">
      <c r="A19" s="60" t="s">
        <v>19</v>
      </c>
      <c r="B19" s="57" t="s">
        <v>14</v>
      </c>
      <c r="C19" s="62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62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76"/>
      <c r="F19" s="62">
        <f ca="1">IF(F9="","",IF(OR($C$4&gt;=$C$5,IntermediateCalcul!D9=""),"-",10^(FORECAST(ABS($C$4-$C$5),IntermediateCalcul!D$26:D$27,IntermediateCalcul!D$24:D$25)*LOG($C$2)+FORECAST(ABS($C$4-$C$5),IntermediateCalcul!D$28:D$29,IntermediateCalcul!D$24:D$25))))</f>
        <v>1.0811736255374094</v>
      </c>
      <c r="G19" s="62">
        <f ca="1">IF(G9="","",IF(OR($C$4&gt;=$C$5,IntermediateCalcul!E9=""),"-",10^(FORECAST(ABS($C$4-$C$5),IntermediateCalcul!E$26:E$27,IntermediateCalcul!E$24:E$25)*LOG($C$2)+FORECAST(ABS($C$4-$C$5),IntermediateCalcul!E$28:E$29,IntermediateCalcul!E$24:E$25))))</f>
        <v>1.0811736255374094</v>
      </c>
      <c r="H19" s="62">
        <f ca="1">IF(H9="","",IF(OR($C$4&gt;=$C$5,IntermediateCalcul!F9=""),"-",10^(FORECAST(ABS($C$4-$C$5),IntermediateCalcul!F$26:F$27,IntermediateCalcul!F$24:F$25)*LOG($C$2)+FORECAST(ABS($C$4-$C$5),IntermediateCalcul!F$28:F$29,IntermediateCalcul!F$24:F$25))))</f>
        <v>1.0811736255374094</v>
      </c>
      <c r="I19" s="62">
        <f ca="1">IF(I9="","",IF(OR($C$4&gt;=$C$5,IntermediateCalcul!G9=""),"-",10^(FORECAST(ABS($C$4-$C$5),IntermediateCalcul!G$26:G$27,IntermediateCalcul!G$24:G$25)*LOG($C$2)+FORECAST(ABS($C$4-$C$5),IntermediateCalcul!G$28:G$29,IntermediateCalcul!G$24:G$25))))</f>
        <v>0.70722079039977581</v>
      </c>
      <c r="J19" s="62">
        <f ca="1">IF(J9="","",IF(OR($C$4&gt;=$C$5,IntermediateCalcul!H9=""),"-",10^(FORECAST(ABS($C$4-$C$5),IntermediateCalcul!H$26:H$27,IntermediateCalcul!H$24:H$25)*LOG($C$2)+FORECAST(ABS($C$4-$C$5),IntermediateCalcul!H$28:H$29,IntermediateCalcul!H$24:H$25))))</f>
        <v>0.70722079039977581</v>
      </c>
    </row>
    <row r="20" spans="1:10" s="58" customFormat="1" ht="14.25" x14ac:dyDescent="0.25">
      <c r="A20" s="60" t="s">
        <v>63</v>
      </c>
      <c r="B20" s="57" t="s">
        <v>20</v>
      </c>
      <c r="C20" s="62" t="str">
        <f>IF(C9="","",IF(OR(ISBLANK(TechData!D27),$C$5&lt;$C$4),"-",(TechData!D27*SQRT(TechData!D26)/(SelectionData!$C$3-TechData!D28)*(SelectionData!$C$4-SelectionData!$C$5)+(SelectionData!$C$5+273.15))-273.15))</f>
        <v>-</v>
      </c>
      <c r="D20" s="62" t="str">
        <f>IF(D9="","",IF(OR(ISBLANK(TechData!E27),$C$5&lt;$C$4),"-",(TechData!E27*SQRT(TechData!E26)/(SelectionData!$C$3-TechData!E28)*(SelectionData!$C$4-SelectionData!$C$5)+(SelectionData!$C$5+273.15))-273.15))</f>
        <v>-</v>
      </c>
      <c r="E20" s="76"/>
      <c r="F20" s="62">
        <f>IF(F9="","",IF(OR(ISBLANK(TechData!F27),$C$5&lt;$C$4),"-",(TechData!F27*SQRT(TechData!F26)/(SelectionData!$C$3-TechData!F28)*(SelectionData!$C$4-SelectionData!$C$5)+(SelectionData!$C$5+273.15))-273.15))</f>
        <v>25.691255672685429</v>
      </c>
      <c r="G20" s="62">
        <f>IF(G9="","",IF(OR(ISBLANK(TechData!G27),$C$5&lt;$C$4),"-",(TechData!G27*SQRT(TechData!G26)/(SelectionData!$C$3-TechData!G28)*(SelectionData!$C$4-SelectionData!$C$5)+(SelectionData!$C$5+273.15))-273.15))</f>
        <v>25.604013195772268</v>
      </c>
      <c r="H20" s="62">
        <f>IF(H9="","",IF(OR(ISBLANK(TechData!H27),$C$5&lt;$C$4),"-",(TechData!H27*SQRT(TechData!H26)/(SelectionData!$C$3-TechData!H28)*(SelectionData!$C$4-SelectionData!$C$5)+(SelectionData!$C$5+273.15))-273.15))</f>
        <v>25.463323713083639</v>
      </c>
      <c r="I20" s="62">
        <f>IF(I9="","",IF(OR(ISBLANK(TechData!I27),$C$5&lt;$C$4),"-",(TechData!I27*SQRT(TechData!I26)/(SelectionData!$C$3-TechData!I28)*(SelectionData!$C$4-SelectionData!$C$5)+(SelectionData!$C$5+273.15))-273.15))</f>
        <v>25.346027603897312</v>
      </c>
      <c r="J20" s="62">
        <f>IF(J9="","",IF(OR(ISBLANK(TechData!J27),$C$5&lt;$C$4),"-",(TechData!J27*SQRT(TechData!J26)/(SelectionData!$C$3-TechData!J28)*(SelectionData!$C$4-SelectionData!$C$5)+(SelectionData!$C$5+273.15))-273.15))</f>
        <v>24.857088242316991</v>
      </c>
    </row>
    <row r="21" spans="1:10" s="58" customFormat="1" ht="14.25" x14ac:dyDescent="0.25">
      <c r="A21" s="60" t="s">
        <v>54</v>
      </c>
      <c r="B21" s="57" t="str">
        <f>B6</f>
        <v>[dB(A)]</v>
      </c>
      <c r="C21" s="61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53.485205477214379</v>
      </c>
      <c r="D21" s="61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41.143084138245058</v>
      </c>
      <c r="E21" s="77"/>
      <c r="F21" s="61">
        <f>IF($C$7="NR",IF(F9="","",IF(ISBLANK(TechData!F30),"-",IF(TechData!F30*LN(SelectionData!$C$2)+TechData!F31&lt;15,"&lt;15",IF(TechData!F30*LN(SelectionData!$C$2)+TechData!F31&gt;50,"&gt;50",TechData!F30*LN(SelectionData!$C$2)+TechData!F31)))),IF(F9="","",IF(ISBLANK(TechData!F33),"-",IF(TechData!F33*LN(SelectionData!$C$2)+TechData!F34&lt;20,"&lt;20",IF(TechData!F33*LN(SelectionData!$C$2)+TechData!F34&gt;55,"&gt;55",TechData!F33*LN(SelectionData!$C$2)+TechData!F34)))))</f>
        <v>53.465417894568048</v>
      </c>
      <c r="G21" s="61">
        <f>IF($C$7="NR",IF(G9="","",IF(ISBLANK(TechData!G30),"-",IF(TechData!G30*LN(SelectionData!$C$2)+TechData!G31&lt;15,"&lt;15",IF(TechData!G30*LN(SelectionData!$C$2)+TechData!G31&gt;50,"&gt;50",TechData!G30*LN(SelectionData!$C$2)+TechData!G31)))),IF(G9="","",IF(ISBLANK(TechData!G33),"-",IF(TechData!G33*LN(SelectionData!$C$2)+TechData!G34&lt;20,"&lt;20",IF(TechData!G33*LN(SelectionData!$C$2)+TechData!G34&gt;55,"&gt;55",TechData!G33*LN(SelectionData!$C$2)+TechData!G34)))))</f>
        <v>42.802066040802003</v>
      </c>
      <c r="H21" s="61">
        <f>IF($C$7="NR",IF(H9="","",IF(ISBLANK(TechData!H30),"-",IF(TechData!H30*LN(SelectionData!$C$2)+TechData!H31&lt;15,"&lt;15",IF(TechData!H30*LN(SelectionData!$C$2)+TechData!H31&gt;50,"&gt;50",TechData!H30*LN(SelectionData!$C$2)+TechData!H31)))),IF(H9="","",IF(ISBLANK(TechData!H33),"-",IF(TechData!H33*LN(SelectionData!$C$2)+TechData!H34&lt;20,"&lt;20",IF(TechData!H33*LN(SelectionData!$C$2)+TechData!H34&gt;55,"&gt;55",TechData!H33*LN(SelectionData!$C$2)+TechData!H34)))))</f>
        <v>29.933325408449548</v>
      </c>
      <c r="I21" s="61">
        <f>IF($C$7="NR",IF(I9="","",IF(ISBLANK(TechData!I30),"-",IF(TechData!I30*LN(SelectionData!$C$2)+TechData!I31&lt;15,"&lt;15",IF(TechData!I30*LN(SelectionData!$C$2)+TechData!I31&gt;50,"&gt;50",TechData!I30*LN(SelectionData!$C$2)+TechData!I31)))),IF(I9="","",IF(ISBLANK(TechData!I33),"-",IF(TechData!I33*LN(SelectionData!$C$2)+TechData!I34&lt;20,"&lt;20",IF(TechData!I33*LN(SelectionData!$C$2)+TechData!I34&gt;55,"&gt;55",TechData!I33*LN(SelectionData!$C$2)+TechData!I34)))))</f>
        <v>21.072896359449572</v>
      </c>
      <c r="J21" s="61" t="str">
        <f>IF($C$7="NR",IF(J9="","",IF(ISBLANK(TechData!J30),"-",IF(TechData!J30*LN(SelectionData!$C$2)+TechData!J31&lt;15,"&lt;15",IF(TechData!J30*LN(SelectionData!$C$2)+TechData!J31&gt;50,"&gt;50",TechData!J30*LN(SelectionData!$C$2)+TechData!J31)))),IF(J9="","",IF(ISBLANK(TechData!J33),"-",IF(TechData!J33*LN(SelectionData!$C$2)+TechData!J34&lt;20,"&lt;20",IF(TechData!J33*LN(SelectionData!$C$2)+TechData!J34&gt;55,"&gt;55",TechData!J33*LN(SelectionData!$C$2)+TechData!J34)))))</f>
        <v>&lt;20</v>
      </c>
    </row>
    <row r="22" spans="1:10" s="58" customFormat="1" ht="14.25" x14ac:dyDescent="0.25">
      <c r="A22" s="60" t="s">
        <v>62</v>
      </c>
      <c r="B22" s="57" t="str">
        <f>B6</f>
        <v>[dB(A)]</v>
      </c>
      <c r="C22" s="61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45.485205477214379</v>
      </c>
      <c r="D22" s="61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33.143084138245058</v>
      </c>
      <c r="E22" s="77"/>
      <c r="F22" s="61">
        <f>IF($C$7="NR",IF(F9="","",IF(ISBLANK(TechData!F30),"-",IF(TechData!F30*LN(SelectionData!$C$2)+TechData!F31-$C$6&lt;15,"&lt;15",IF(TechData!F30*LN(SelectionData!$C$2)+TechData!F31-$C$6&gt;50,"&gt;50",TechData!F30*LN(SelectionData!$C$2)+TechData!F31-$C$6)))),IF(F9="","",IF(ISBLANK(TechData!F33),"-",IF(TechData!F33*LN(SelectionData!$C$2)+TechData!F34-$C$6&lt;20,"&lt;20",IF(TechData!F33*LN(SelectionData!$C$2)+TechData!F34-$C$6&gt;55,"&gt;55",TechData!F33*LN(SelectionData!$C$2)+TechData!F34-$C$6)))))</f>
        <v>45.465417894568048</v>
      </c>
      <c r="G22" s="61">
        <f>IF($C$7="NR",IF(G9="","",IF(ISBLANK(TechData!G30),"-",IF(TechData!G30*LN(SelectionData!$C$2)+TechData!G31-$C$6&lt;15,"&lt;15",IF(TechData!G30*LN(SelectionData!$C$2)+TechData!G31-$C$6&gt;50,"&gt;50",TechData!G30*LN(SelectionData!$C$2)+TechData!G31-$C$6)))),IF(G9="","",IF(ISBLANK(TechData!G33),"-",IF(TechData!G33*LN(SelectionData!$C$2)+TechData!G34-$C$6&lt;20,"&lt;20",IF(TechData!G33*LN(SelectionData!$C$2)+TechData!G34-$C$6&gt;55,"&gt;55",TechData!G33*LN(SelectionData!$C$2)+TechData!G34-$C$6)))))</f>
        <v>34.802066040802003</v>
      </c>
      <c r="H22" s="61">
        <f>IF($C$7="NR",IF(H9="","",IF(ISBLANK(TechData!H30),"-",IF(TechData!H30*LN(SelectionData!$C$2)+TechData!H31-$C$6&lt;15,"&lt;15",IF(TechData!H30*LN(SelectionData!$C$2)+TechData!H31-$C$6&gt;50,"&gt;50",TechData!H30*LN(SelectionData!$C$2)+TechData!H31-$C$6)))),IF(H9="","",IF(ISBLANK(TechData!H33),"-",IF(TechData!H33*LN(SelectionData!$C$2)+TechData!H34-$C$6&lt;20,"&lt;20",IF(TechData!H33*LN(SelectionData!$C$2)+TechData!H34-$C$6&gt;55,"&gt;55",TechData!H33*LN(SelectionData!$C$2)+TechData!H34-$C$6)))))</f>
        <v>21.933325408449548</v>
      </c>
      <c r="I22" s="61" t="str">
        <f>IF($C$7="NR",IF(I9="","",IF(ISBLANK(TechData!I30),"-",IF(TechData!I30*LN(SelectionData!$C$2)+TechData!I31-$C$6&lt;15,"&lt;15",IF(TechData!I30*LN(SelectionData!$C$2)+TechData!I31-$C$6&gt;50,"&gt;50",TechData!I30*LN(SelectionData!$C$2)+TechData!I31-$C$6)))),IF(I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J22" s="61" t="str">
        <f>IF($C$7="NR",IF(J9="","",IF(ISBLANK(TechData!J30),"-",IF(TechData!J30*LN(SelectionData!$C$2)+TechData!J31-$C$6&lt;15,"&lt;15",IF(TechData!J30*LN(SelectionData!$C$2)+TechData!J31-$C$6&gt;50,"&gt;50",TechData!J30*LN(SelectionData!$C$2)+TechData!J31-$C$6)))),IF(J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</row>
    <row r="23" spans="1:10" s="58" customFormat="1" ht="12.75" x14ac:dyDescent="0.2">
      <c r="B23" s="42"/>
      <c r="E23" s="74"/>
    </row>
    <row r="24" spans="1:10" s="58" customFormat="1" ht="12.75" x14ac:dyDescent="0.2">
      <c r="A24" s="63" t="s">
        <v>16</v>
      </c>
      <c r="B24" s="42"/>
      <c r="E24" s="74"/>
    </row>
    <row r="25" spans="1:10" s="58" customFormat="1" ht="14.25" x14ac:dyDescent="0.25">
      <c r="B25" s="42"/>
      <c r="C25" s="80" t="s">
        <v>55</v>
      </c>
      <c r="D25" s="80"/>
      <c r="E25" s="79"/>
      <c r="F25" s="81" t="s">
        <v>55</v>
      </c>
      <c r="G25" s="82"/>
      <c r="H25" s="82"/>
      <c r="I25" s="82"/>
      <c r="J25" s="83"/>
    </row>
    <row r="26" spans="1:10" s="58" customFormat="1" ht="12.75" x14ac:dyDescent="0.2">
      <c r="A26" s="56">
        <v>125</v>
      </c>
      <c r="B26" s="57" t="s">
        <v>17</v>
      </c>
      <c r="C26" s="62">
        <f>IF(C9="","",IF(AND(OR(ISNUMBER(C21),ISNUMBER(C22)),SUM(TechData!D36:D49)&lt;&gt;0),IF(TechData!D36="","&lt; BGL",IF(TechData!D36*LN(SelectionData!$C$2)+TechData!D37&lt;=0,"&lt; BGL",TechData!D36*LN(SelectionData!$C$2)+TechData!D37)),"-"))</f>
        <v>54.641916751713254</v>
      </c>
      <c r="D26" s="62">
        <f>IF(D9="","",IF(AND(OR(ISNUMBER(D21),ISNUMBER(D22)),SUM(TechData!E36:E49)&lt;&gt;0),IF(TechData!E36="","&lt; BGL",IF(TechData!E36*LN(SelectionData!$C$2)+TechData!E37&lt;=0,"&lt; BGL",TechData!E36*LN(SelectionData!$C$2)+TechData!E37)),"-"))</f>
        <v>46.456537122568804</v>
      </c>
      <c r="E26" s="76"/>
      <c r="F26" s="62">
        <f>IF(F9="","",IF(AND(OR(ISNUMBER(F21),ISNUMBER(F22)),SUM(TechData!F36:F49)&lt;&gt;0),IF(TechData!F36="","&lt; BGL",IF(TechData!F36*LN(SelectionData!$C$2)+TechData!F37&lt;=0,"&lt; BGL",TechData!F36*LN(SelectionData!$C$2)+TechData!F37)),"-"))</f>
        <v>57.038562428189138</v>
      </c>
      <c r="G26" s="62">
        <f>IF(G9="","",IF(AND(OR(ISNUMBER(G21),ISNUMBER(G22)),SUM(TechData!G36:G49)&lt;&gt;0),IF(TechData!G36="","&lt; BGL",IF(TechData!G36*LN(SelectionData!$C$2)+TechData!G37&lt;=0,"&lt; BGL",TechData!G36*LN(SelectionData!$C$2)+TechData!G37)),"-"))</f>
        <v>52.536053058926946</v>
      </c>
      <c r="H26" s="62">
        <f>IF(H9="","",IF(AND(OR(ISNUMBER(H21),ISNUMBER(H22)),SUM(TechData!H36:H49)&lt;&gt;0),IF(TechData!H36="","&lt; BGL",IF(TechData!H36*LN(SelectionData!$C$2)+TechData!H37&lt;=0,"&lt; BGL",TechData!H36*LN(SelectionData!$C$2)+TechData!H37)),"-"))</f>
        <v>41.746261215472146</v>
      </c>
      <c r="I26" s="62">
        <f>IF(I9="","",IF(AND(OR(ISNUMBER(I21),ISNUMBER(I22)),SUM(TechData!I36:I49)&lt;&gt;0),IF(TechData!I36="","&lt; BGL",IF(TechData!I36*LN(SelectionData!$C$2)+TechData!I37&lt;=0,"&lt; BGL",TechData!I36*LN(SelectionData!$C$2)+TechData!I37)),"-"))</f>
        <v>34.53530458379872</v>
      </c>
      <c r="J26" s="62" t="str">
        <f>IF(J9="","",IF(AND(OR(ISNUMBER(J21),ISNUMBER(J22)),SUM(TechData!J36:J49)&lt;&gt;0),IF(TechData!J36="","&lt; BGL",IF(TechData!J36*LN(SelectionData!$C$2)+TechData!J37&lt;=0,"&lt; BGL",TechData!J36*LN(SelectionData!$C$2)+TechData!J37)),"-"))</f>
        <v>-</v>
      </c>
    </row>
    <row r="27" spans="1:10" s="58" customFormat="1" ht="12.75" x14ac:dyDescent="0.2">
      <c r="A27" s="56">
        <v>250</v>
      </c>
      <c r="B27" s="57" t="s">
        <v>17</v>
      </c>
      <c r="C27" s="62">
        <f>IF(C9="","",IF(AND(OR(ISNUMBER(C21),ISNUMBER(C22)),SUM(TechData!D36:D49)&lt;&gt;0),IF(TechData!D38="","&lt; BGL",IF(TechData!D38*LN(SelectionData!$C$2)+TechData!D39&lt;=0,"&lt; BGL",TechData!D38*LN(SelectionData!$C$2)+TechData!D39)),"-"))</f>
        <v>55.161996891646169</v>
      </c>
      <c r="D27" s="62">
        <f>IF(D9="","",IF(AND(OR(ISNUMBER(D21),ISNUMBER(D22)),SUM(TechData!E36:E49)&lt;&gt;0),IF(TechData!E38="","&lt; BGL",IF(TechData!E38*LN(SelectionData!$C$2)+TechData!E39&lt;=0,"&lt; BGL",TechData!E38*LN(SelectionData!$C$2)+TechData!E39)),"-"))</f>
        <v>43.960234464593171</v>
      </c>
      <c r="E27" s="76"/>
      <c r="F27" s="62">
        <f>IF(F9="","",IF(AND(OR(ISNUMBER(F21),ISNUMBER(F22)),SUM(TechData!F36:F49)&lt;&gt;0),IF(TechData!F38="","&lt; BGL",IF(TechData!F38*LN(SelectionData!$C$2)+TechData!F39&lt;=0,"&lt; BGL",TechData!F38*LN(SelectionData!$C$2)+TechData!F39)),"-"))</f>
        <v>50.650688299007733</v>
      </c>
      <c r="G27" s="62">
        <f>IF(G9="","",IF(AND(OR(ISNUMBER(G21),ISNUMBER(G22)),SUM(TechData!G36:G49)&lt;&gt;0),IF(TechData!G38="","&lt; BGL",IF(TechData!G38*LN(SelectionData!$C$2)+TechData!G39&lt;=0,"&lt; BGL",TechData!G38*LN(SelectionData!$C$2)+TechData!G39)),"-"))</f>
        <v>42.860731317617052</v>
      </c>
      <c r="H27" s="62">
        <f>IF(H9="","",IF(AND(OR(ISNUMBER(H21),ISNUMBER(H22)),SUM(TechData!H36:H49)&lt;&gt;0),IF(TechData!H38="","&lt; BGL",IF(TechData!H38*LN(SelectionData!$C$2)+TechData!H39&lt;=0,"&lt; BGL",TechData!H38*LN(SelectionData!$C$2)+TechData!H39)),"-"))</f>
        <v>32.061136959704939</v>
      </c>
      <c r="I27" s="62">
        <f>IF(I9="","",IF(AND(OR(ISNUMBER(I21),ISNUMBER(I22)),SUM(TechData!I36:I49)&lt;&gt;0),IF(TechData!I38="","&lt; BGL",IF(TechData!I38*LN(SelectionData!$C$2)+TechData!I39&lt;=0,"&lt; BGL",TechData!I38*LN(SelectionData!$C$2)+TechData!I39)),"-"))</f>
        <v>24.896750747248859</v>
      </c>
      <c r="J27" s="62" t="str">
        <f>IF(J9="","",IF(AND(OR(ISNUMBER(J21),ISNUMBER(J22)),SUM(TechData!J36:J49)&lt;&gt;0),IF(TechData!J38="","&lt; BGL",IF(TechData!J38*LN(SelectionData!$C$2)+TechData!J39&lt;=0,"&lt; BGL",TechData!J38*LN(SelectionData!$C$2)+TechData!J39)),"-"))</f>
        <v>-</v>
      </c>
    </row>
    <row r="28" spans="1:10" s="58" customFormat="1" ht="12.75" x14ac:dyDescent="0.2">
      <c r="A28" s="56">
        <v>500</v>
      </c>
      <c r="B28" s="57" t="s">
        <v>17</v>
      </c>
      <c r="C28" s="62">
        <f>IF(C9="","",IF(AND(OR(ISNUMBER(C21),ISNUMBER(C22)),SUM(TechData!D36:D49)&lt;&gt;0),IF(TechData!D40="","&lt; BGL",IF(TechData!D40*LN(SelectionData!$C$2)+TechData!D41&lt;=0,"&lt; BGL",TechData!D40*LN(SelectionData!$C$2)+TechData!D41)),"-"))</f>
        <v>50.730790908503593</v>
      </c>
      <c r="D28" s="62">
        <f>IF(D9="","",IF(AND(OR(ISNUMBER(D21),ISNUMBER(D22)),SUM(TechData!E36:E49)&lt;&gt;0),IF(TechData!E40="","&lt; BGL",IF(TechData!E40*LN(SelectionData!$C$2)+TechData!E41&lt;=0,"&lt; BGL",TechData!E40*LN(SelectionData!$C$2)+TechData!E41)),"-"))</f>
        <v>38.177880808514075</v>
      </c>
      <c r="E28" s="76"/>
      <c r="F28" s="62">
        <f>IF(F9="","",IF(AND(OR(ISNUMBER(F21),ISNUMBER(F22)),SUM(TechData!F36:F49)&lt;&gt;0),IF(TechData!F40="","&lt; BGL",IF(TechData!F40*LN(SelectionData!$C$2)+TechData!F41&lt;=0,"&lt; BGL",TechData!F40*LN(SelectionData!$C$2)+TechData!F41)),"-"))</f>
        <v>48.695853164717903</v>
      </c>
      <c r="G28" s="62">
        <f>IF(G9="","",IF(AND(OR(ISNUMBER(G21),ISNUMBER(G22)),SUM(TechData!G36:G49)&lt;&gt;0),IF(TechData!G40="","&lt; BGL",IF(TechData!G40*LN(SelectionData!$C$2)+TechData!G41&lt;=0,"&lt; BGL",TechData!G40*LN(SelectionData!$C$2)+TechData!G41)),"-"))</f>
        <v>39.059834894686787</v>
      </c>
      <c r="H28" s="62">
        <f>IF(H9="","",IF(AND(OR(ISNUMBER(H21),ISNUMBER(H22)),SUM(TechData!H36:H49)&lt;&gt;0),IF(TechData!H40="","&lt; BGL",IF(TechData!H40*LN(SelectionData!$C$2)+TechData!H41&lt;=0,"&lt; BGL",TechData!H40*LN(SelectionData!$C$2)+TechData!H41)),"-"))</f>
        <v>25.955613943697259</v>
      </c>
      <c r="I28" s="62">
        <f>IF(I9="","",IF(AND(OR(ISNUMBER(I21),ISNUMBER(I22)),SUM(TechData!I36:I49)&lt;&gt;0),IF(TechData!I40="","&lt; BGL",IF(TechData!I40*LN(SelectionData!$C$2)+TechData!I41&lt;=0,"&lt; BGL",TechData!I40*LN(SelectionData!$C$2)+TechData!I41)),"-"))</f>
        <v>17.725189779764577</v>
      </c>
      <c r="J28" s="62" t="str">
        <f>IF(J9="","",IF(AND(OR(ISNUMBER(J21),ISNUMBER(J22)),SUM(TechData!J36:J49)&lt;&gt;0),IF(TechData!J40="","&lt; BGL",IF(TechData!J40*LN(SelectionData!$C$2)+TechData!J41&lt;=0,"&lt; BGL",TechData!J40*LN(SelectionData!$C$2)+TechData!J41)),"-"))</f>
        <v>-</v>
      </c>
    </row>
    <row r="29" spans="1:10" s="58" customFormat="1" ht="12.75" x14ac:dyDescent="0.2">
      <c r="A29" s="56">
        <v>1000</v>
      </c>
      <c r="B29" s="57" t="s">
        <v>17</v>
      </c>
      <c r="C29" s="62">
        <f>IF(C9="","",IF(AND(OR(ISNUMBER(C21),ISNUMBER(C22)),SUM(TechData!D36:D49)&lt;&gt;0),IF(TechData!D42="","&lt; BGL",IF(TechData!D42*LN(SelectionData!$C$2)+TechData!D43&lt;=0,"&lt; BGL",TechData!D42*LN(SelectionData!$C$2)+TechData!D43)),"-"))</f>
        <v>53.86183104923461</v>
      </c>
      <c r="D29" s="62">
        <f>IF(D9="","",IF(AND(OR(ISNUMBER(D21),ISNUMBER(D22)),SUM(TechData!E36:E49)&lt;&gt;0),IF(TechData!E42="","&lt; BGL",IF(TechData!E42*LN(SelectionData!$C$2)+TechData!E43&lt;=0,"&lt; BGL",TechData!E42*LN(SelectionData!$C$2)+TechData!E43)),"-"))</f>
        <v>36.527450527176768</v>
      </c>
      <c r="E29" s="76"/>
      <c r="F29" s="62">
        <f>IF(F9="","",IF(AND(OR(ISNUMBER(F21),ISNUMBER(F22)),SUM(TechData!F36:F49)&lt;&gt;0),IF(TechData!F42="","&lt; BGL",IF(TechData!F42*LN(SelectionData!$C$2)+TechData!F43&lt;=0,"&lt; BGL",TechData!F42*LN(SelectionData!$C$2)+TechData!F43)),"-"))</f>
        <v>55.853101042744953</v>
      </c>
      <c r="G29" s="62">
        <f>IF(G9="","",IF(AND(OR(ISNUMBER(G21),ISNUMBER(G22)),SUM(TechData!G36:G49)&lt;&gt;0),IF(TechData!G42="","&lt; BGL",IF(TechData!G42*LN(SelectionData!$C$2)+TechData!G43&lt;=0,"&lt; BGL",TechData!G42*LN(SelectionData!$C$2)+TechData!G43)),"-"))</f>
        <v>38.979307044569026</v>
      </c>
      <c r="H29" s="62">
        <f>IF(H9="","",IF(AND(OR(ISNUMBER(H21),ISNUMBER(H22)),SUM(TechData!H36:H49)&lt;&gt;0),IF(TechData!H42="","&lt; BGL",IF(TechData!H42*LN(SelectionData!$C$2)+TechData!H43&lt;=0,"&lt; BGL",TechData!H42*LN(SelectionData!$C$2)+TechData!H43)),"-"))</f>
        <v>20.922933914034672</v>
      </c>
      <c r="I29" s="62">
        <f>IF(I9="","",IF(AND(OR(ISNUMBER(I21),ISNUMBER(I22)),SUM(TechData!I36:I49)&lt;&gt;0),IF(TechData!I42="","&lt; BGL",IF(TechData!I42*LN(SelectionData!$C$2)+TechData!I43&lt;=0,"&lt; BGL",TechData!I42*LN(SelectionData!$C$2)+TechData!I43)),"-"))</f>
        <v>7.043303542300464</v>
      </c>
      <c r="J29" s="62" t="str">
        <f>IF(J9="","",IF(AND(OR(ISNUMBER(J21),ISNUMBER(J22)),SUM(TechData!J36:J49)&lt;&gt;0),IF(TechData!J42="","&lt; BGL",IF(TechData!J42*LN(SelectionData!$C$2)+TechData!J43&lt;=0,"&lt; BGL",TechData!J42*LN(SelectionData!$C$2)+TechData!J43)),"-"))</f>
        <v>-</v>
      </c>
    </row>
    <row r="30" spans="1:10" s="58" customFormat="1" ht="12.75" x14ac:dyDescent="0.2">
      <c r="A30" s="56">
        <v>2000</v>
      </c>
      <c r="B30" s="57" t="s">
        <v>17</v>
      </c>
      <c r="C30" s="62">
        <f>IF(C9="","",IF(AND(OR(ISNUMBER(C21),ISNUMBER(C22)),SUM(TechData!D36:D49)&lt;&gt;0),IF(TechData!D44="","&lt; BGL",IF(TechData!D44*LN(SelectionData!$C$2)+TechData!D45&lt;=0,"&lt; BGL",TechData!D44*LN(SelectionData!$C$2)+TechData!D45)),"-"))</f>
        <v>50.787715715427652</v>
      </c>
      <c r="D30" s="62">
        <f>IF(D9="","",IF(AND(OR(ISNUMBER(D21),ISNUMBER(D22)),SUM(TechData!E36:E49)&lt;&gt;0),IF(TechData!E44="","&lt; BGL",IF(TechData!E44*LN(SelectionData!$C$2)+TechData!E45&lt;=0,"&lt; BGL",TechData!E44*LN(SelectionData!$C$2)+TechData!E45)),"-"))</f>
        <v>28.792327965463727</v>
      </c>
      <c r="E30" s="76"/>
      <c r="F30" s="62">
        <f>IF(F9="","",IF(AND(OR(ISNUMBER(F21),ISNUMBER(F22)),SUM(TechData!F36:F49)&lt;&gt;0),IF(TechData!F44="","&lt; BGL",IF(TechData!F44*LN(SelectionData!$C$2)+TechData!F45&lt;=0,"&lt; BGL",TechData!F44*LN(SelectionData!$C$2)+TechData!F45)),"-"))</f>
        <v>55.147794368192706</v>
      </c>
      <c r="G30" s="62">
        <f>IF(G9="","",IF(AND(OR(ISNUMBER(G21),ISNUMBER(G22)),SUM(TechData!G36:G49)&lt;&gt;0),IF(TechData!G44="","&lt; BGL",IF(TechData!G44*LN(SelectionData!$C$2)+TechData!G45&lt;=0,"&lt; BGL",TechData!G44*LN(SelectionData!$C$2)+TechData!G45)),"-"))</f>
        <v>30.319298840444731</v>
      </c>
      <c r="H30" s="62">
        <f>IF(H9="","",IF(AND(OR(ISNUMBER(H21),ISNUMBER(H22)),SUM(TechData!H36:H49)&lt;&gt;0),IF(TechData!H44="","&lt; BGL",IF(TechData!H44*LN(SelectionData!$C$2)+TechData!H45&lt;=0,"&lt; BGL",TechData!H44*LN(SelectionData!$C$2)+TechData!H45)),"-"))</f>
        <v>15.079565709879688</v>
      </c>
      <c r="I30" s="62" t="str">
        <f>IF(I9="","",IF(AND(OR(ISNUMBER(I21),ISNUMBER(I22)),SUM(TechData!I36:I49)&lt;&gt;0),IF(TechData!I44="","&lt; BGL",IF(TechData!I44*LN(SelectionData!$C$2)+TechData!I45&lt;=0,"&lt; BGL",TechData!I44*LN(SelectionData!$C$2)+TechData!I45)),"-"))</f>
        <v>&lt; BGL</v>
      </c>
      <c r="J30" s="62" t="str">
        <f>IF(J9="","",IF(AND(OR(ISNUMBER(J21),ISNUMBER(J22)),SUM(TechData!J36:J49)&lt;&gt;0),IF(TechData!J44="","&lt; BGL",IF(TechData!J44*LN(SelectionData!$C$2)+TechData!J45&lt;=0,"&lt; BGL",TechData!J44*LN(SelectionData!$C$2)+TechData!J45)),"-"))</f>
        <v>-</v>
      </c>
    </row>
    <row r="31" spans="1:10" s="58" customFormat="1" ht="12.75" x14ac:dyDescent="0.2">
      <c r="A31" s="56">
        <v>4000</v>
      </c>
      <c r="B31" s="57" t="s">
        <v>17</v>
      </c>
      <c r="C31" s="62">
        <f>IF(C9="","",IF(AND(OR(ISNUMBER(C21),ISNUMBER(C22)),SUM(TechData!D36:D49)&lt;&gt;0),IF(TechData!D46="","&lt; BGL",IF(TechData!D46*LN(SelectionData!$C$2)+TechData!D47&lt;=0,"&lt; BGL",TechData!D46*LN(SelectionData!$C$2)+TechData!D47)),"-"))</f>
        <v>45.336846570371705</v>
      </c>
      <c r="D31" s="62">
        <f>IF(D9="","",IF(AND(OR(ISNUMBER(D21),ISNUMBER(D22)),SUM(TechData!E36:E49)&lt;&gt;0),IF(TechData!E46="","&lt; BGL",IF(TechData!E46*LN(SelectionData!$C$2)+TechData!E47&lt;=0,"&lt; BGL",TechData!E46*LN(SelectionData!$C$2)+TechData!E47)),"-"))</f>
        <v>19.257157027030644</v>
      </c>
      <c r="E31" s="76"/>
      <c r="F31" s="62">
        <f>IF(F9="","",IF(AND(OR(ISNUMBER(F21),ISNUMBER(F22)),SUM(TechData!F36:F49)&lt;&gt;0),IF(TechData!F46="","&lt; BGL",IF(TechData!F46*LN(SelectionData!$C$2)+TechData!F47&lt;=0,"&lt; BGL",TechData!F46*LN(SelectionData!$C$2)+TechData!F47)),"-"))</f>
        <v>46.765564681895398</v>
      </c>
      <c r="G31" s="62">
        <f>IF(G9="","",IF(AND(OR(ISNUMBER(G21),ISNUMBER(G22)),SUM(TechData!G36:G49)&lt;&gt;0),IF(TechData!G46="","&lt; BGL",IF(TechData!G46*LN(SelectionData!$C$2)+TechData!G47&lt;=0,"&lt; BGL",TechData!G46*LN(SelectionData!$C$2)+TechData!G47)),"-"))</f>
        <v>22.308233227551398</v>
      </c>
      <c r="H31" s="62" t="str">
        <f>IF(H9="","",IF(AND(OR(ISNUMBER(H21),ISNUMBER(H22)),SUM(TechData!H36:H49)&lt;&gt;0),IF(TechData!H46="","&lt; BGL",IF(TechData!H46*LN(SelectionData!$C$2)+TechData!H47&lt;=0,"&lt; BGL",TechData!H46*LN(SelectionData!$C$2)+TechData!H47)),"-"))</f>
        <v>&lt; BGL</v>
      </c>
      <c r="I31" s="62" t="str">
        <f>IF(I9="","",IF(AND(OR(ISNUMBER(I21),ISNUMBER(I22)),SUM(TechData!I36:I49)&lt;&gt;0),IF(TechData!I46="","&lt; BGL",IF(TechData!I46*LN(SelectionData!$C$2)+TechData!I47&lt;=0,"&lt; BGL",TechData!I46*LN(SelectionData!$C$2)+TechData!I47)),"-"))</f>
        <v>&lt; BGL</v>
      </c>
      <c r="J31" s="62" t="str">
        <f>IF(J9="","",IF(AND(OR(ISNUMBER(J21),ISNUMBER(J22)),SUM(TechData!J36:J49)&lt;&gt;0),IF(TechData!J46="","&lt; BGL",IF(TechData!J46*LN(SelectionData!$C$2)+TechData!J47&lt;=0,"&lt; BGL",TechData!J46*LN(SelectionData!$C$2)+TechData!J47)),"-"))</f>
        <v>-</v>
      </c>
    </row>
    <row r="32" spans="1:10" s="58" customFormat="1" ht="12.75" x14ac:dyDescent="0.2">
      <c r="A32" s="56">
        <v>8000</v>
      </c>
      <c r="B32" s="57" t="s">
        <v>17</v>
      </c>
      <c r="C32" s="62" t="str">
        <f>IF(C9="","",IF(AND(OR(ISNUMBER(C21),ISNUMBER(C22)),SUM(TechData!D36:D49)&lt;&gt;0),IF(TechData!D48="","&lt; BGL",IF(TechData!D48*LN(SelectionData!$C$2)+TechData!D49&lt;=0,"&lt; BGL",TechData!D48*LN(SelectionData!$C$2)+TechData!D49)),"-"))</f>
        <v>&lt; BGL</v>
      </c>
      <c r="D32" s="62" t="str">
        <f>IF(D9="","",IF(AND(OR(ISNUMBER(D21),ISNUMBER(D22)),SUM(TechData!E36:E49)&lt;&gt;0),IF(TechData!E48="","&lt; BGL",IF(TechData!E48*LN(SelectionData!$C$2)+TechData!E49&lt;=0,"&lt; BGL",TechData!E48*LN(SelectionData!$C$2)+TechData!E49)),"-"))</f>
        <v>&lt; BGL</v>
      </c>
      <c r="E32" s="76"/>
      <c r="F32" s="62" t="str">
        <f>IF(F9="","",IF(AND(OR(ISNUMBER(F21),ISNUMBER(F22)),SUM(TechData!F36:F49)&lt;&gt;0),IF(TechData!F48="","&lt; BGL",IF(TechData!F48*LN(SelectionData!$C$2)+TechData!F49&lt;=0,"&lt; BGL",TechData!F48*LN(SelectionData!$C$2)+TechData!F49)),"-"))</f>
        <v>&lt; BGL</v>
      </c>
      <c r="G32" s="62" t="str">
        <f>IF(G9="","",IF(AND(OR(ISNUMBER(G21),ISNUMBER(G22)),SUM(TechData!G36:G49)&lt;&gt;0),IF(TechData!G48="","&lt; BGL",IF(TechData!G48*LN(SelectionData!$C$2)+TechData!G49&lt;=0,"&lt; BGL",TechData!G48*LN(SelectionData!$C$2)+TechData!G49)),"-"))</f>
        <v>&lt; BGL</v>
      </c>
      <c r="H32" s="62" t="str">
        <f>IF(H9="","",IF(AND(OR(ISNUMBER(H21),ISNUMBER(H22)),SUM(TechData!H36:H49)&lt;&gt;0),IF(TechData!H48="","&lt; BGL",IF(TechData!H48*LN(SelectionData!$C$2)+TechData!H49&lt;=0,"&lt; BGL",TechData!H48*LN(SelectionData!$C$2)+TechData!H49)),"-"))</f>
        <v>&lt; BGL</v>
      </c>
      <c r="I32" s="62" t="str">
        <f>IF(I9="","",IF(AND(OR(ISNUMBER(I21),ISNUMBER(I22)),SUM(TechData!I36:I49)&lt;&gt;0),IF(TechData!I48="","&lt; BGL",IF(TechData!I48*LN(SelectionData!$C$2)+TechData!I49&lt;=0,"&lt; BGL",TechData!I48*LN(SelectionData!$C$2)+TechData!I49)),"-"))</f>
        <v>&lt; BGL</v>
      </c>
      <c r="J32" s="62" t="str">
        <f>IF(J9="","",IF(AND(OR(ISNUMBER(J21),ISNUMBER(J22)),SUM(TechData!J36:J49)&lt;&gt;0),IF(TechData!J48="","&lt; BGL",IF(TechData!J48*LN(SelectionData!$C$2)+TechData!J49&lt;=0,"&lt; BGL",TechData!J48*LN(SelectionData!$C$2)+TechData!J49)),"-"))</f>
        <v>-</v>
      </c>
    </row>
    <row r="33" spans="1:1" x14ac:dyDescent="0.25">
      <c r="A33" s="7" t="s">
        <v>18</v>
      </c>
    </row>
  </sheetData>
  <sheetProtection algorithmName="SHA-512" hashValue="kXz/lDDtyy4eqjW6x0Slmb+9JrtC2/469jPWKm7x+eQ5T73rHxXai+D3GNtAO09VucBk0D4GaaTJMGVHD8orPg==" saltValue="jBMFFL1WVdJmhdYKFglmWA==" spinCount="100000" sheet="1" objects="1" scenarios="1"/>
  <mergeCells count="2">
    <mergeCell ref="C25:D25"/>
    <mergeCell ref="F25:J25"/>
  </mergeCells>
  <dataValidations disablePrompts="1"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B1" zoomScale="70" zoomScaleNormal="70" workbookViewId="0">
      <selection activeCell="C1" sqref="C1:C5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4" width="20.7109375" style="71" bestFit="1" customWidth="1"/>
    <col min="5" max="5" width="20.85546875" style="71" bestFit="1" customWidth="1"/>
    <col min="6" max="10" width="21.42578125" style="71" bestFit="1" customWidth="1"/>
    <col min="11" max="13" width="8.5703125" style="42" bestFit="1" customWidth="1"/>
  </cols>
  <sheetData>
    <row r="1" spans="1:17" x14ac:dyDescent="0.25">
      <c r="A1" s="8"/>
      <c r="B1" s="13"/>
      <c r="C1" s="17" t="s">
        <v>24</v>
      </c>
      <c r="D1" s="65" t="s">
        <v>70</v>
      </c>
      <c r="E1" s="65" t="s">
        <v>71</v>
      </c>
      <c r="F1" s="65" t="s">
        <v>72</v>
      </c>
      <c r="G1" s="65" t="s">
        <v>73</v>
      </c>
      <c r="H1" s="65" t="s">
        <v>74</v>
      </c>
      <c r="I1" s="65" t="s">
        <v>75</v>
      </c>
      <c r="J1" s="65" t="s">
        <v>76</v>
      </c>
      <c r="K1" s="29"/>
      <c r="L1" s="29"/>
      <c r="M1" s="30"/>
    </row>
    <row r="2" spans="1:17" x14ac:dyDescent="0.25">
      <c r="A2" s="14"/>
      <c r="B2" s="15"/>
      <c r="C2" s="16" t="s">
        <v>65</v>
      </c>
      <c r="D2" s="65">
        <v>125</v>
      </c>
      <c r="E2" s="65">
        <v>160</v>
      </c>
      <c r="F2" s="65">
        <v>125</v>
      </c>
      <c r="G2" s="65">
        <v>160</v>
      </c>
      <c r="H2" s="65">
        <v>200</v>
      </c>
      <c r="I2" s="65">
        <v>250</v>
      </c>
      <c r="J2" s="65">
        <v>315</v>
      </c>
      <c r="K2" s="29"/>
      <c r="L2" s="29"/>
      <c r="M2" s="30"/>
    </row>
    <row r="3" spans="1:17" x14ac:dyDescent="0.25">
      <c r="A3" s="8"/>
      <c r="B3" s="13"/>
      <c r="C3" s="17" t="s">
        <v>66</v>
      </c>
      <c r="D3" s="65" t="s">
        <v>77</v>
      </c>
      <c r="E3" s="65" t="s">
        <v>78</v>
      </c>
      <c r="F3" s="65" t="s">
        <v>83</v>
      </c>
      <c r="G3" s="65" t="s">
        <v>79</v>
      </c>
      <c r="H3" s="65" t="s">
        <v>80</v>
      </c>
      <c r="I3" s="65" t="s">
        <v>81</v>
      </c>
      <c r="J3" s="65" t="s">
        <v>82</v>
      </c>
      <c r="K3" s="30"/>
      <c r="L3" s="30"/>
      <c r="M3" s="30"/>
      <c r="Q3" s="18"/>
    </row>
    <row r="4" spans="1:17" x14ac:dyDescent="0.25">
      <c r="A4" s="8"/>
      <c r="B4" s="13"/>
      <c r="C4" s="17" t="s">
        <v>67</v>
      </c>
      <c r="D4" s="65">
        <v>100</v>
      </c>
      <c r="E4" s="65">
        <v>125</v>
      </c>
      <c r="F4" s="65">
        <v>100</v>
      </c>
      <c r="G4" s="65">
        <v>125</v>
      </c>
      <c r="H4" s="65">
        <v>160</v>
      </c>
      <c r="I4" s="65">
        <v>200</v>
      </c>
      <c r="J4" s="65">
        <v>250</v>
      </c>
      <c r="K4" s="29"/>
      <c r="L4" s="29"/>
      <c r="M4" s="30"/>
    </row>
    <row r="5" spans="1:17" x14ac:dyDescent="0.25">
      <c r="A5" s="19"/>
      <c r="B5" s="20"/>
      <c r="C5" s="21" t="s">
        <v>68</v>
      </c>
      <c r="D5" s="65" t="s">
        <v>69</v>
      </c>
      <c r="E5" s="65" t="s">
        <v>69</v>
      </c>
      <c r="F5" s="65" t="s">
        <v>69</v>
      </c>
      <c r="G5" s="65" t="s">
        <v>69</v>
      </c>
      <c r="H5" s="65" t="s">
        <v>69</v>
      </c>
      <c r="I5" s="65" t="s">
        <v>69</v>
      </c>
      <c r="J5" s="65" t="s">
        <v>69</v>
      </c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66"/>
      <c r="E6" s="67"/>
      <c r="F6" s="66"/>
      <c r="G6" s="66"/>
      <c r="H6" s="66"/>
      <c r="I6" s="66"/>
      <c r="J6" s="66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68">
        <v>6.8196502140204932E-3</v>
      </c>
      <c r="E7" s="68">
        <v>9.3563824083902156E-3</v>
      </c>
      <c r="F7" s="68">
        <v>2.0791691517023685E-2</v>
      </c>
      <c r="G7" s="68">
        <v>2.6791214418846132E-2</v>
      </c>
      <c r="H7" s="68">
        <v>3.5795127772400348E-2</v>
      </c>
      <c r="I7" s="68">
        <v>5.1417778965780064E-2</v>
      </c>
      <c r="J7" s="68">
        <v>8.2335955119966373E-2</v>
      </c>
      <c r="K7" s="33"/>
      <c r="L7" s="33"/>
      <c r="M7" s="33"/>
    </row>
    <row r="8" spans="1:17" ht="15" customHeight="1" x14ac:dyDescent="0.35">
      <c r="A8" s="8"/>
      <c r="B8" s="12"/>
      <c r="C8" s="2" t="s">
        <v>4</v>
      </c>
      <c r="D8" s="68">
        <v>0.95186711135215774</v>
      </c>
      <c r="E8" s="68">
        <v>0.87940855947857777</v>
      </c>
      <c r="F8" s="68">
        <v>1.1086740526974528</v>
      </c>
      <c r="G8" s="68">
        <v>1.1086740526974528</v>
      </c>
      <c r="H8" s="68">
        <v>1.1086740526974528</v>
      </c>
      <c r="I8" s="68">
        <v>1.1086740526974528</v>
      </c>
      <c r="J8" s="68">
        <v>1.1086740526974528</v>
      </c>
      <c r="K8" s="34"/>
      <c r="L8" s="34"/>
      <c r="M8" s="34"/>
    </row>
    <row r="9" spans="1:17" ht="15" customHeight="1" x14ac:dyDescent="0.35">
      <c r="A9" s="19"/>
      <c r="B9" s="22"/>
      <c r="C9" s="2" t="s">
        <v>6</v>
      </c>
      <c r="D9" s="69">
        <v>-8.1014091731946861E-2</v>
      </c>
      <c r="E9" s="69">
        <v>-0.11348042632088327</v>
      </c>
      <c r="F9" s="69">
        <v>0.12472564106673925</v>
      </c>
      <c r="G9" s="69">
        <v>0.12708418045894648</v>
      </c>
      <c r="H9" s="69">
        <v>0.1306238093054215</v>
      </c>
      <c r="I9" s="69">
        <v>0.13676540403774706</v>
      </c>
      <c r="J9" s="69">
        <v>0.14891999325894989</v>
      </c>
      <c r="K9" s="34"/>
      <c r="L9" s="34"/>
      <c r="M9" s="34"/>
    </row>
    <row r="10" spans="1:17" ht="15" customHeight="1" x14ac:dyDescent="0.25">
      <c r="A10" s="3" t="s">
        <v>3</v>
      </c>
      <c r="B10" s="9"/>
      <c r="C10" s="4"/>
      <c r="D10" s="5"/>
      <c r="E10" s="70"/>
      <c r="F10" s="5"/>
      <c r="G10" s="5"/>
      <c r="H10" s="5"/>
      <c r="I10" s="5"/>
      <c r="J10" s="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68">
        <v>14.515707295064793</v>
      </c>
      <c r="E11" s="68">
        <v>26.642904005693119</v>
      </c>
      <c r="F11" s="68">
        <v>17.533318994700888</v>
      </c>
      <c r="G11" s="68">
        <v>27.836573539412292</v>
      </c>
      <c r="H11" s="68">
        <v>45.580568351265931</v>
      </c>
      <c r="I11" s="68">
        <v>65.888375113118542</v>
      </c>
      <c r="J11" s="68">
        <v>103.32014427747079</v>
      </c>
      <c r="K11" s="34"/>
      <c r="L11" s="34"/>
      <c r="M11" s="34"/>
    </row>
    <row r="12" spans="1:17" ht="15" customHeight="1" x14ac:dyDescent="0.25">
      <c r="A12" s="8"/>
      <c r="B12" s="12"/>
      <c r="C12" s="2" t="s">
        <v>1</v>
      </c>
      <c r="D12" s="68">
        <v>0.51555564048140623</v>
      </c>
      <c r="E12" s="68">
        <v>0.50496189408401404</v>
      </c>
      <c r="F12" s="68">
        <v>0.47409544129043824</v>
      </c>
      <c r="G12" s="68">
        <v>0.47409544129043824</v>
      </c>
      <c r="H12" s="68">
        <v>0.47409544129043824</v>
      </c>
      <c r="I12" s="68">
        <v>0.47409544129043824</v>
      </c>
      <c r="J12" s="68">
        <v>0.47409544129043824</v>
      </c>
      <c r="K12" s="34"/>
      <c r="L12" s="34"/>
      <c r="M12" s="34"/>
    </row>
    <row r="13" spans="1:17" ht="15" customHeight="1" x14ac:dyDescent="0.35">
      <c r="A13" s="23"/>
      <c r="B13" s="24"/>
      <c r="C13" s="2" t="s">
        <v>7</v>
      </c>
      <c r="D13" s="69">
        <v>7.8539816339744835E-3</v>
      </c>
      <c r="E13" s="69">
        <v>1.2271846303085129E-2</v>
      </c>
      <c r="F13" s="69">
        <v>7.8539816339744835E-3</v>
      </c>
      <c r="G13" s="69">
        <v>1.2271846303085129E-2</v>
      </c>
      <c r="H13" s="69">
        <v>2.0106192982974676E-2</v>
      </c>
      <c r="I13" s="69">
        <v>3.1415926535897934E-2</v>
      </c>
      <c r="J13" s="69">
        <v>4.9087385212340517E-2</v>
      </c>
      <c r="K13" s="33"/>
      <c r="L13" s="33"/>
      <c r="M13" s="33"/>
    </row>
    <row r="14" spans="1:17" ht="15" customHeight="1" x14ac:dyDescent="0.25">
      <c r="A14" s="3" t="s">
        <v>25</v>
      </c>
      <c r="B14" s="9"/>
      <c r="C14" s="4"/>
      <c r="D14" s="5"/>
      <c r="E14" s="70"/>
      <c r="F14" s="70"/>
      <c r="G14" s="70"/>
      <c r="H14" s="70"/>
      <c r="I14" s="70"/>
      <c r="J14" s="70"/>
      <c r="K14" s="10"/>
      <c r="L14" s="10"/>
      <c r="M14" s="11"/>
    </row>
    <row r="15" spans="1:17" ht="15" customHeight="1" x14ac:dyDescent="0.25">
      <c r="A15" s="25"/>
      <c r="B15" s="26" t="s">
        <v>26</v>
      </c>
      <c r="C15" s="2" t="s">
        <v>2</v>
      </c>
      <c r="D15" s="68"/>
      <c r="E15" s="68"/>
      <c r="F15" s="68">
        <v>0.91094723018410551</v>
      </c>
      <c r="G15" s="68">
        <v>0.91094723018410551</v>
      </c>
      <c r="H15" s="68">
        <v>0.91094723018410551</v>
      </c>
      <c r="I15" s="68">
        <v>1.1409504477569949</v>
      </c>
      <c r="J15" s="68">
        <v>1.1409504477569949</v>
      </c>
      <c r="K15" s="39"/>
      <c r="L15" s="39"/>
      <c r="M15" s="39"/>
    </row>
    <row r="16" spans="1:17" ht="15" customHeight="1" x14ac:dyDescent="0.25">
      <c r="A16" s="8"/>
      <c r="B16" s="12"/>
      <c r="C16" s="2" t="s">
        <v>1</v>
      </c>
      <c r="D16" s="68"/>
      <c r="E16" s="68"/>
      <c r="F16" s="68">
        <v>-1.7647926606598565</v>
      </c>
      <c r="G16" s="68">
        <v>-1.7647926606598565</v>
      </c>
      <c r="H16" s="68">
        <v>-1.7647926606598565</v>
      </c>
      <c r="I16" s="68">
        <v>-2.2798495917700818</v>
      </c>
      <c r="J16" s="68">
        <v>-2.2798495917700818</v>
      </c>
      <c r="K16" s="39"/>
      <c r="L16" s="39"/>
      <c r="M16" s="39"/>
    </row>
    <row r="17" spans="1:13" ht="15" customHeight="1" x14ac:dyDescent="0.25">
      <c r="A17" s="25"/>
      <c r="B17" s="26" t="s">
        <v>27</v>
      </c>
      <c r="C17" s="2" t="s">
        <v>2</v>
      </c>
      <c r="D17" s="69"/>
      <c r="E17" s="69"/>
      <c r="F17" s="69">
        <v>0.91094723018410551</v>
      </c>
      <c r="G17" s="69">
        <v>0.91094723018410551</v>
      </c>
      <c r="H17" s="69">
        <v>0.91094723018410551</v>
      </c>
      <c r="I17" s="69">
        <v>1.1409504477569949</v>
      </c>
      <c r="J17" s="69">
        <v>1.1409504477569949</v>
      </c>
      <c r="K17" s="39"/>
      <c r="L17" s="39"/>
      <c r="M17" s="39"/>
    </row>
    <row r="18" spans="1:13" ht="15" customHeight="1" x14ac:dyDescent="0.25">
      <c r="A18" s="8"/>
      <c r="B18" s="13"/>
      <c r="C18" s="2" t="s">
        <v>1</v>
      </c>
      <c r="D18" s="68"/>
      <c r="E18" s="68"/>
      <c r="F18" s="68">
        <v>-1.8460441242224346</v>
      </c>
      <c r="G18" s="68">
        <v>-1.8460441242224346</v>
      </c>
      <c r="H18" s="68">
        <v>-1.8460441242224346</v>
      </c>
      <c r="I18" s="68">
        <v>-2.4362349838188528</v>
      </c>
      <c r="J18" s="68">
        <v>-2.4362349838188528</v>
      </c>
      <c r="K18" s="39"/>
      <c r="L18" s="39"/>
      <c r="M18" s="39"/>
    </row>
    <row r="19" spans="1:13" ht="15" customHeight="1" x14ac:dyDescent="0.25">
      <c r="A19" s="25"/>
      <c r="B19" s="26" t="s">
        <v>28</v>
      </c>
      <c r="C19" s="2" t="s">
        <v>2</v>
      </c>
      <c r="D19" s="68"/>
      <c r="E19" s="68"/>
      <c r="F19" s="68">
        <v>0.91094723018410551</v>
      </c>
      <c r="G19" s="68">
        <v>0.91094723018410551</v>
      </c>
      <c r="H19" s="68">
        <v>0.91094723018410551</v>
      </c>
      <c r="I19" s="68">
        <v>1.1409504477569949</v>
      </c>
      <c r="J19" s="68">
        <v>1.1409504477569949</v>
      </c>
      <c r="K19" s="39"/>
      <c r="L19" s="39"/>
      <c r="M19" s="39"/>
    </row>
    <row r="20" spans="1:13" ht="15" customHeight="1" x14ac:dyDescent="0.25">
      <c r="A20" s="8"/>
      <c r="B20" s="13"/>
      <c r="C20" s="2" t="s">
        <v>1</v>
      </c>
      <c r="D20" s="69"/>
      <c r="E20" s="69"/>
      <c r="F20" s="69">
        <v>-1.903692955058915</v>
      </c>
      <c r="G20" s="69">
        <v>-1.903692955058915</v>
      </c>
      <c r="H20" s="69">
        <v>-1.903692955058915</v>
      </c>
      <c r="I20" s="69">
        <v>-2.5471921852798798</v>
      </c>
      <c r="J20" s="69">
        <v>-2.5471921852798798</v>
      </c>
      <c r="K20" s="39"/>
      <c r="L20" s="39"/>
      <c r="M20" s="39"/>
    </row>
    <row r="21" spans="1:13" ht="15" customHeight="1" x14ac:dyDescent="0.25">
      <c r="A21" s="25"/>
      <c r="B21" s="26" t="s">
        <v>29</v>
      </c>
      <c r="C21" s="2" t="s">
        <v>2</v>
      </c>
      <c r="D21" s="68"/>
      <c r="E21" s="68"/>
      <c r="F21" s="68">
        <v>0.91094723018410551</v>
      </c>
      <c r="G21" s="68">
        <v>0.91094723018410551</v>
      </c>
      <c r="H21" s="68">
        <v>0.91094723018410551</v>
      </c>
      <c r="I21" s="68">
        <v>1.1409504477569949</v>
      </c>
      <c r="J21" s="68">
        <v>1.1409504477569949</v>
      </c>
      <c r="K21" s="39"/>
      <c r="L21" s="39"/>
      <c r="M21" s="39"/>
    </row>
    <row r="22" spans="1:13" ht="15" customHeight="1" x14ac:dyDescent="0.25">
      <c r="A22" s="8"/>
      <c r="B22" s="13"/>
      <c r="C22" s="2" t="s">
        <v>1</v>
      </c>
      <c r="D22" s="68"/>
      <c r="E22" s="68"/>
      <c r="F22" s="68">
        <v>-1.9484088622140976</v>
      </c>
      <c r="G22" s="68">
        <v>-1.9484088622140976</v>
      </c>
      <c r="H22" s="68">
        <v>-1.9484088622140976</v>
      </c>
      <c r="I22" s="68">
        <v>-2.6332572770907356</v>
      </c>
      <c r="J22" s="68">
        <v>-2.6332572770907356</v>
      </c>
      <c r="K22" s="39"/>
      <c r="L22" s="39"/>
      <c r="M22" s="39"/>
    </row>
    <row r="23" spans="1:13" ht="15" customHeight="1" x14ac:dyDescent="0.25">
      <c r="A23" s="25"/>
      <c r="B23" s="26" t="s">
        <v>30</v>
      </c>
      <c r="C23" s="2" t="s">
        <v>2</v>
      </c>
      <c r="D23" s="69"/>
      <c r="E23" s="69"/>
      <c r="F23" s="69">
        <v>0.91094723018410551</v>
      </c>
      <c r="G23" s="69">
        <v>0.91094723018410551</v>
      </c>
      <c r="H23" s="69">
        <v>0.91094723018410551</v>
      </c>
      <c r="I23" s="69">
        <v>1.1409504477569949</v>
      </c>
      <c r="J23" s="69">
        <v>1.1409504477569949</v>
      </c>
      <c r="K23" s="39"/>
      <c r="L23" s="39"/>
      <c r="M23" s="39"/>
    </row>
    <row r="24" spans="1:13" ht="15" customHeight="1" x14ac:dyDescent="0.25">
      <c r="A24" s="8"/>
      <c r="B24" s="13"/>
      <c r="C24" s="2" t="s">
        <v>1</v>
      </c>
      <c r="D24" s="68"/>
      <c r="E24" s="68"/>
      <c r="F24" s="68">
        <v>-1.9849444186214931</v>
      </c>
      <c r="G24" s="68">
        <v>-1.9849444186214931</v>
      </c>
      <c r="H24" s="68">
        <v>-1.9849444186214931</v>
      </c>
      <c r="I24" s="68">
        <v>-2.7035775773286508</v>
      </c>
      <c r="J24" s="68">
        <v>-2.7035775773286508</v>
      </c>
      <c r="K24" s="39"/>
      <c r="L24" s="39"/>
      <c r="M24" s="39"/>
    </row>
    <row r="25" spans="1:13" ht="15" customHeight="1" x14ac:dyDescent="0.25">
      <c r="A25" s="3" t="s">
        <v>22</v>
      </c>
      <c r="B25" s="9"/>
      <c r="C25" s="4"/>
      <c r="D25" s="5"/>
      <c r="E25" s="70"/>
      <c r="F25" s="70"/>
      <c r="G25" s="70"/>
      <c r="H25" s="70"/>
      <c r="I25" s="70"/>
      <c r="J25" s="70"/>
      <c r="K25" s="38"/>
      <c r="L25" s="38"/>
      <c r="M25" s="36"/>
    </row>
    <row r="26" spans="1:13" ht="15" customHeight="1" x14ac:dyDescent="0.35">
      <c r="A26" s="8"/>
      <c r="B26" s="12"/>
      <c r="C26" s="2" t="s">
        <v>5</v>
      </c>
      <c r="D26" s="69"/>
      <c r="E26" s="69"/>
      <c r="F26" s="69">
        <v>2.0791691517023685E-2</v>
      </c>
      <c r="G26" s="69">
        <v>2.6791214418846132E-2</v>
      </c>
      <c r="H26" s="69">
        <v>3.5795127772400348E-2</v>
      </c>
      <c r="I26" s="69">
        <v>5.1417778965780064E-2</v>
      </c>
      <c r="J26" s="69">
        <v>8.2335955119966373E-2</v>
      </c>
      <c r="K26" s="39"/>
      <c r="L26" s="39"/>
      <c r="M26" s="39"/>
    </row>
    <row r="27" spans="1:13" ht="15" customHeight="1" x14ac:dyDescent="0.35">
      <c r="A27" s="8"/>
      <c r="B27" s="12"/>
      <c r="C27" s="2" t="s">
        <v>23</v>
      </c>
      <c r="D27" s="69"/>
      <c r="E27" s="69"/>
      <c r="F27" s="69">
        <v>0.4070870331406532</v>
      </c>
      <c r="G27" s="69">
        <v>0.45995750283615916</v>
      </c>
      <c r="H27" s="69">
        <v>0.53930400019771518</v>
      </c>
      <c r="I27" s="69">
        <v>0.5432782327238268</v>
      </c>
      <c r="J27" s="69">
        <v>0.79751515713469878</v>
      </c>
      <c r="K27" s="39"/>
      <c r="L27" s="39"/>
      <c r="M27" s="39"/>
    </row>
    <row r="28" spans="1:13" ht="15" customHeight="1" x14ac:dyDescent="0.35">
      <c r="A28" s="8"/>
      <c r="B28" s="13"/>
      <c r="C28" s="2" t="s">
        <v>6</v>
      </c>
      <c r="D28" s="69"/>
      <c r="E28" s="69"/>
      <c r="F28" s="69">
        <v>9.8776412483400869E-2</v>
      </c>
      <c r="G28" s="69">
        <v>9.8776412483400869E-2</v>
      </c>
      <c r="H28" s="69">
        <v>9.8776412483400869E-2</v>
      </c>
      <c r="I28" s="69">
        <v>0.11626614166761495</v>
      </c>
      <c r="J28" s="69">
        <v>-2.2624793450309322E-3</v>
      </c>
      <c r="K28" s="39"/>
      <c r="L28" s="39"/>
      <c r="M28" s="39"/>
    </row>
    <row r="29" spans="1:13" ht="15" customHeight="1" x14ac:dyDescent="0.25">
      <c r="A29" s="3" t="s">
        <v>9</v>
      </c>
      <c r="B29" s="9"/>
      <c r="C29" s="4"/>
      <c r="D29" s="5"/>
      <c r="E29" s="70"/>
      <c r="F29" s="70"/>
      <c r="G29" s="70"/>
      <c r="H29" s="70"/>
      <c r="I29" s="70"/>
      <c r="J29" s="70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69">
        <v>24.826085807339116</v>
      </c>
      <c r="E30" s="69">
        <v>29.153168976654641</v>
      </c>
      <c r="F30" s="69">
        <v>32.512597006519378</v>
      </c>
      <c r="G30" s="69">
        <v>30.369835447666532</v>
      </c>
      <c r="H30" s="69">
        <v>30.655603394320249</v>
      </c>
      <c r="I30" s="69">
        <v>35.561719239653819</v>
      </c>
      <c r="J30" s="69">
        <v>33.694081850971315</v>
      </c>
      <c r="K30" s="34"/>
      <c r="L30" s="34"/>
      <c r="M30" s="34"/>
    </row>
    <row r="31" spans="1:13" ht="15" customHeight="1" x14ac:dyDescent="0.25">
      <c r="A31" s="19"/>
      <c r="B31" s="22"/>
      <c r="C31" s="2" t="s">
        <v>1</v>
      </c>
      <c r="D31" s="69">
        <v>-75.932835943944426</v>
      </c>
      <c r="E31" s="69">
        <v>-109.86037135559276</v>
      </c>
      <c r="F31" s="69">
        <v>-111.43415404869656</v>
      </c>
      <c r="G31" s="69">
        <v>-114.13556617780786</v>
      </c>
      <c r="H31" s="69">
        <v>-130.41562373973147</v>
      </c>
      <c r="I31" s="69">
        <v>-165.26785316790165</v>
      </c>
      <c r="J31" s="69">
        <v>-167.48505586164697</v>
      </c>
      <c r="K31" s="34"/>
      <c r="L31" s="34"/>
      <c r="M31" s="34"/>
    </row>
    <row r="32" spans="1:13" ht="15" customHeight="1" x14ac:dyDescent="0.25">
      <c r="A32" s="3" t="s">
        <v>10</v>
      </c>
      <c r="B32" s="9"/>
      <c r="C32" s="4"/>
      <c r="D32" s="5"/>
      <c r="E32" s="70"/>
      <c r="F32" s="70"/>
      <c r="G32" s="70"/>
      <c r="H32" s="70"/>
      <c r="I32" s="70"/>
      <c r="J32" s="70"/>
      <c r="K32" s="40"/>
      <c r="L32" s="37"/>
      <c r="M32" s="40"/>
    </row>
    <row r="33" spans="1:13" ht="15" customHeight="1" x14ac:dyDescent="0.25">
      <c r="A33" s="8"/>
      <c r="B33" s="12"/>
      <c r="C33" s="2" t="s">
        <v>2</v>
      </c>
      <c r="D33" s="69">
        <v>25.169663573052304</v>
      </c>
      <c r="E33" s="69">
        <v>27.781123600622006</v>
      </c>
      <c r="F33" s="69">
        <v>27.577631142632878</v>
      </c>
      <c r="G33" s="69">
        <v>26.958519933722897</v>
      </c>
      <c r="H33" s="69">
        <v>26.972251620353482</v>
      </c>
      <c r="I33" s="69">
        <v>30.352301273370607</v>
      </c>
      <c r="J33" s="69">
        <v>28.402480431934841</v>
      </c>
      <c r="K33" s="34"/>
      <c r="L33" s="34"/>
      <c r="M33" s="34"/>
    </row>
    <row r="34" spans="1:13" ht="15" customHeight="1" x14ac:dyDescent="0.25">
      <c r="A34" s="19"/>
      <c r="B34" s="22"/>
      <c r="C34" s="2" t="s">
        <v>1</v>
      </c>
      <c r="D34" s="69">
        <v>-72.630799162450359</v>
      </c>
      <c r="E34" s="69">
        <v>-98.057994284682024</v>
      </c>
      <c r="F34" s="69">
        <v>-84.716034036276312</v>
      </c>
      <c r="G34" s="69">
        <v>-92.277245415707398</v>
      </c>
      <c r="H34" s="69">
        <v>-105.21479052173854</v>
      </c>
      <c r="I34" s="69">
        <v>-131.0114156579439</v>
      </c>
      <c r="J34" s="69">
        <v>-131.17199220422006</v>
      </c>
      <c r="K34" s="34"/>
      <c r="L34" s="34"/>
      <c r="M34" s="34"/>
    </row>
    <row r="35" spans="1:13" ht="15" customHeight="1" x14ac:dyDescent="0.25">
      <c r="A35" s="3" t="s">
        <v>8</v>
      </c>
      <c r="B35" s="9"/>
      <c r="C35" s="4"/>
      <c r="D35" s="5"/>
      <c r="E35" s="70"/>
      <c r="F35" s="70"/>
      <c r="G35" s="70"/>
      <c r="H35" s="70"/>
      <c r="I35" s="70"/>
      <c r="J35" s="70"/>
      <c r="K35" s="40"/>
      <c r="L35" s="37"/>
      <c r="M35" s="40"/>
    </row>
    <row r="36" spans="1:13" ht="15" customHeight="1" x14ac:dyDescent="0.25">
      <c r="A36" s="27"/>
      <c r="B36" s="17" t="s">
        <v>31</v>
      </c>
      <c r="C36" s="2" t="s">
        <v>2</v>
      </c>
      <c r="D36" s="68">
        <v>20.313907021372302</v>
      </c>
      <c r="E36" s="68">
        <v>21.579021786803782</v>
      </c>
      <c r="F36" s="68">
        <v>19.714485572959092</v>
      </c>
      <c r="G36" s="68">
        <v>22.193218045763107</v>
      </c>
      <c r="H36" s="68">
        <v>22.961331239803894</v>
      </c>
      <c r="I36" s="68">
        <v>23.24723124565709</v>
      </c>
      <c r="J36" s="68">
        <v>20.364758455869129</v>
      </c>
      <c r="K36" s="41"/>
      <c r="L36" s="41"/>
      <c r="M36" s="34"/>
    </row>
    <row r="37" spans="1:13" ht="15" customHeight="1" x14ac:dyDescent="0.25">
      <c r="A37" s="27"/>
      <c r="B37" s="17"/>
      <c r="C37" s="2" t="s">
        <v>1</v>
      </c>
      <c r="D37" s="68">
        <v>-47.143662730564543</v>
      </c>
      <c r="E37" s="68">
        <v>-61.668071054462274</v>
      </c>
      <c r="F37" s="68">
        <v>-41.743534788631123</v>
      </c>
      <c r="G37" s="68">
        <v>-58.666068570747605</v>
      </c>
      <c r="H37" s="68">
        <v>-73.304595494124172</v>
      </c>
      <c r="I37" s="68">
        <v>-81.948092785707956</v>
      </c>
      <c r="J37" s="68">
        <v>-74.298117506496098</v>
      </c>
      <c r="K37" s="41"/>
      <c r="L37" s="41"/>
      <c r="M37" s="34"/>
    </row>
    <row r="38" spans="1:13" ht="15" customHeight="1" x14ac:dyDescent="0.25">
      <c r="A38" s="27"/>
      <c r="B38" s="17" t="s">
        <v>32</v>
      </c>
      <c r="C38" s="2" t="s">
        <v>2</v>
      </c>
      <c r="D38" s="68">
        <v>21.303467178587692</v>
      </c>
      <c r="E38" s="68">
        <v>23.955942054994196</v>
      </c>
      <c r="F38" s="68">
        <v>21.512155802186903</v>
      </c>
      <c r="G38" s="68">
        <v>22.553222297550285</v>
      </c>
      <c r="H38" s="68">
        <v>23.166350341066611</v>
      </c>
      <c r="I38" s="68">
        <v>26.398996937619373</v>
      </c>
      <c r="J38" s="68">
        <v>22.766212043349576</v>
      </c>
      <c r="K38" s="41"/>
      <c r="L38" s="41"/>
      <c r="M38" s="34"/>
    </row>
    <row r="39" spans="1:13" ht="15" customHeight="1" x14ac:dyDescent="0.25">
      <c r="A39" s="27"/>
      <c r="B39" s="17"/>
      <c r="C39" s="2" t="s">
        <v>1</v>
      </c>
      <c r="D39" s="68">
        <v>-51.581907640006492</v>
      </c>
      <c r="E39" s="68">
        <v>-76.074254299485531</v>
      </c>
      <c r="F39" s="68">
        <v>-57.138878815527512</v>
      </c>
      <c r="G39" s="68">
        <v>-70.145240322087048</v>
      </c>
      <c r="H39" s="68">
        <v>-84.016995694642247</v>
      </c>
      <c r="I39" s="68">
        <v>-107.37899503712575</v>
      </c>
      <c r="J39" s="68">
        <v>-96.382502371135772</v>
      </c>
      <c r="K39" s="41"/>
      <c r="L39" s="41"/>
      <c r="M39" s="34"/>
    </row>
    <row r="40" spans="1:13" ht="15" customHeight="1" x14ac:dyDescent="0.25">
      <c r="A40" s="27"/>
      <c r="B40" s="17" t="s">
        <v>33</v>
      </c>
      <c r="C40" s="2" t="s">
        <v>2</v>
      </c>
      <c r="D40" s="68">
        <v>25.182980148259798</v>
      </c>
      <c r="E40" s="68">
        <v>26.543200867325691</v>
      </c>
      <c r="F40" s="68">
        <v>25.35812192389329</v>
      </c>
      <c r="G40" s="68">
        <v>28.421815081260497</v>
      </c>
      <c r="H40" s="68">
        <v>27.391366004950612</v>
      </c>
      <c r="I40" s="68">
        <v>29.549954292526309</v>
      </c>
      <c r="J40" s="68">
        <v>30.031517376222393</v>
      </c>
      <c r="K40" s="41"/>
      <c r="L40" s="41"/>
      <c r="M40" s="34"/>
    </row>
    <row r="41" spans="1:13" ht="15" customHeight="1" x14ac:dyDescent="0.25">
      <c r="A41" s="27"/>
      <c r="B41" s="17"/>
      <c r="C41" s="2" t="s">
        <v>1</v>
      </c>
      <c r="D41" s="68">
        <v>-75.451938232892303</v>
      </c>
      <c r="E41" s="68">
        <v>-94.820418275594378</v>
      </c>
      <c r="F41" s="68">
        <v>-78.364447539137856</v>
      </c>
      <c r="G41" s="68">
        <v>-103.3515148737543</v>
      </c>
      <c r="H41" s="68">
        <v>-111.29253131421662</v>
      </c>
      <c r="I41" s="68">
        <v>-130.33885413729888</v>
      </c>
      <c r="J41" s="68">
        <v>-144.64023450627582</v>
      </c>
      <c r="K41" s="41"/>
      <c r="L41" s="41"/>
      <c r="M41" s="34"/>
    </row>
    <row r="42" spans="1:13" ht="15" customHeight="1" x14ac:dyDescent="0.25">
      <c r="A42" s="27"/>
      <c r="B42" s="17" t="s">
        <v>34</v>
      </c>
      <c r="C42" s="2" t="s">
        <v>2</v>
      </c>
      <c r="D42" s="68">
        <v>36.054226581066899</v>
      </c>
      <c r="E42" s="68">
        <v>39.817817620634251</v>
      </c>
      <c r="F42" s="68">
        <v>40.732974514621212</v>
      </c>
      <c r="G42" s="68">
        <v>39.01729170766847</v>
      </c>
      <c r="H42" s="68">
        <v>36.709135390931564</v>
      </c>
      <c r="I42" s="68">
        <v>45.52961686582632</v>
      </c>
      <c r="J42" s="68">
        <v>46.275916687929211</v>
      </c>
      <c r="K42" s="41"/>
      <c r="L42" s="41"/>
      <c r="M42" s="34"/>
    </row>
    <row r="43" spans="1:13" ht="15" customHeight="1" x14ac:dyDescent="0.25">
      <c r="A43" s="27"/>
      <c r="B43" s="17"/>
      <c r="C43" s="2" t="s">
        <v>1</v>
      </c>
      <c r="D43" s="68">
        <v>-126.79274915920257</v>
      </c>
      <c r="E43" s="68">
        <v>-162.985111776661</v>
      </c>
      <c r="F43" s="68">
        <v>-148.2449786937394</v>
      </c>
      <c r="G43" s="68">
        <v>-156.52211186592376</v>
      </c>
      <c r="H43" s="68">
        <v>-163.01315549152497</v>
      </c>
      <c r="I43" s="68">
        <v>-221.08900165228903</v>
      </c>
      <c r="J43" s="68">
        <v>-242.54554537246665</v>
      </c>
      <c r="K43" s="41"/>
      <c r="L43" s="41"/>
      <c r="M43" s="34"/>
    </row>
    <row r="44" spans="1:13" ht="15" customHeight="1" x14ac:dyDescent="0.25">
      <c r="A44" s="27"/>
      <c r="B44" s="17" t="s">
        <v>35</v>
      </c>
      <c r="C44" s="2" t="s">
        <v>2</v>
      </c>
      <c r="D44" s="68">
        <v>45.649524764796269</v>
      </c>
      <c r="E44" s="68">
        <v>48.947942702841502</v>
      </c>
      <c r="F44" s="68">
        <v>52.083808993353834</v>
      </c>
      <c r="G44" s="68">
        <v>33.063777066299522</v>
      </c>
      <c r="H44" s="68">
        <v>32.169489557879359</v>
      </c>
      <c r="I44" s="68">
        <v>55.504885297555013</v>
      </c>
      <c r="J44" s="68">
        <v>54.029386054708283</v>
      </c>
      <c r="K44" s="41"/>
      <c r="L44" s="41"/>
      <c r="M44" s="34"/>
    </row>
    <row r="45" spans="1:13" ht="15" customHeight="1" x14ac:dyDescent="0.25">
      <c r="A45" s="27"/>
      <c r="B45" s="17"/>
      <c r="C45" s="2" t="s">
        <v>1</v>
      </c>
      <c r="D45" s="68">
        <v>-177.94540422978159</v>
      </c>
      <c r="E45" s="68">
        <v>-216.46796131479516</v>
      </c>
      <c r="F45" s="68">
        <v>-205.82517722487398</v>
      </c>
      <c r="G45" s="68">
        <v>-135.35122948408599</v>
      </c>
      <c r="H45" s="68">
        <v>-146.11001406189158</v>
      </c>
      <c r="I45" s="68">
        <v>-285.9491814753161</v>
      </c>
      <c r="J45" s="68">
        <v>-298.94928554575421</v>
      </c>
      <c r="K45" s="41"/>
      <c r="L45" s="41"/>
      <c r="M45" s="34"/>
    </row>
    <row r="46" spans="1:13" ht="15" customHeight="1" x14ac:dyDescent="0.25">
      <c r="A46" s="27"/>
      <c r="B46" s="17" t="s">
        <v>36</v>
      </c>
      <c r="C46" s="2" t="s">
        <v>2</v>
      </c>
      <c r="D46" s="68">
        <v>51.506953093370754</v>
      </c>
      <c r="E46" s="68">
        <v>54.104118266595989</v>
      </c>
      <c r="F46" s="68">
        <v>57.207043440354376</v>
      </c>
      <c r="G46" s="68">
        <v>54.847972297629326</v>
      </c>
      <c r="H46" s="68">
        <v>51.445600149756743</v>
      </c>
      <c r="I46" s="68">
        <v>58.655860302233513</v>
      </c>
      <c r="J46" s="68">
        <v>52.761128780016207</v>
      </c>
      <c r="K46" s="41"/>
      <c r="L46" s="41"/>
      <c r="M46" s="34"/>
    </row>
    <row r="47" spans="1:13" ht="15" customHeight="1" x14ac:dyDescent="0.25">
      <c r="A47" s="27"/>
      <c r="B47" s="17"/>
      <c r="C47" s="2" t="s">
        <v>1</v>
      </c>
      <c r="D47" s="68">
        <v>-212.74571049063209</v>
      </c>
      <c r="E47" s="68">
        <v>-251.83884751553313</v>
      </c>
      <c r="F47" s="68">
        <v>-239.87806625124193</v>
      </c>
      <c r="G47" s="68">
        <v>-252.51495257656381</v>
      </c>
      <c r="H47" s="68">
        <v>-260.70688361333163</v>
      </c>
      <c r="I47" s="68">
        <v>-316.50594527194738</v>
      </c>
      <c r="J47" s="68">
        <v>-304.36673271903845</v>
      </c>
      <c r="K47" s="41"/>
      <c r="L47" s="41"/>
      <c r="M47" s="34"/>
    </row>
    <row r="48" spans="1:13" ht="15" customHeight="1" x14ac:dyDescent="0.25">
      <c r="A48" s="27"/>
      <c r="B48" s="17" t="s">
        <v>37</v>
      </c>
      <c r="C48" s="2" t="s">
        <v>2</v>
      </c>
      <c r="D48" s="69" t="s">
        <v>64</v>
      </c>
      <c r="E48" s="68" t="s">
        <v>64</v>
      </c>
      <c r="F48" s="68"/>
      <c r="G48" s="68"/>
      <c r="H48" s="68"/>
      <c r="I48" s="68"/>
      <c r="J48" s="68"/>
      <c r="K48" s="41"/>
      <c r="L48" s="41"/>
      <c r="M48" s="34"/>
    </row>
    <row r="49" spans="1:13" ht="15" customHeight="1" x14ac:dyDescent="0.25">
      <c r="A49" s="28"/>
      <c r="B49" s="21"/>
      <c r="C49" s="2" t="s">
        <v>1</v>
      </c>
      <c r="D49" s="69" t="s">
        <v>64</v>
      </c>
      <c r="E49" s="68" t="s">
        <v>64</v>
      </c>
      <c r="F49" s="68"/>
      <c r="G49" s="68"/>
      <c r="H49" s="68"/>
      <c r="I49" s="68"/>
      <c r="J49" s="68"/>
      <c r="K49" s="41"/>
      <c r="L49" s="41"/>
      <c r="M49" s="34"/>
    </row>
    <row r="50" spans="1:13" x14ac:dyDescent="0.25">
      <c r="A50" t="s">
        <v>38</v>
      </c>
    </row>
  </sheetData>
  <sheetProtection algorithmName="SHA-512" hashValue="LyPdIyLdvnhpPfZhJGdxHcBpM5FNDxwMMXePkcAU79d1VdgEUsPpk7754zs16PsNHVgnu49GZZVF2k9RBGZwgg==" saltValue="g0DYvgtlNWrB74NRHUUQw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45"/>
    <col min="2" max="2" width="13.85546875" style="45" bestFit="1" customWidth="1"/>
    <col min="3" max="3" width="13.42578125" style="45" bestFit="1" customWidth="1"/>
    <col min="4" max="4" width="14.85546875" style="45" bestFit="1" customWidth="1"/>
    <col min="5" max="5" width="13.42578125" style="45" bestFit="1" customWidth="1"/>
    <col min="6" max="11" width="10.85546875" style="45" bestFit="1" customWidth="1"/>
    <col min="12" max="16384" width="9.140625" style="43"/>
  </cols>
  <sheetData>
    <row r="1" spans="1:15" x14ac:dyDescent="0.2">
      <c r="A1" s="45" t="s">
        <v>39</v>
      </c>
    </row>
    <row r="2" spans="1:15" x14ac:dyDescent="0.2">
      <c r="A2" s="47" t="str">
        <f>IF(ISBLANK(TechData!C2),"",TechData!C2)</f>
        <v>Nominal Size</v>
      </c>
      <c r="B2" s="46">
        <f>IF(ISBLANK(TechData!D2),"",TechData!D2)</f>
        <v>125</v>
      </c>
      <c r="C2" s="46">
        <f>IF(ISBLANK(TechData!E2),"",TechData!E2)</f>
        <v>160</v>
      </c>
      <c r="D2" s="46">
        <f>IF(ISBLANK(TechData!F2),"",TechData!F2)</f>
        <v>125</v>
      </c>
      <c r="E2" s="46">
        <f>IF(ISBLANK(TechData!G2),"",TechData!G2)</f>
        <v>160</v>
      </c>
      <c r="F2" s="46">
        <f>IF(ISBLANK(TechData!H2),"",TechData!H2)</f>
        <v>200</v>
      </c>
      <c r="G2" s="46">
        <f>IF(ISBLANK(TechData!I2),"",TechData!I2)</f>
        <v>250</v>
      </c>
      <c r="H2" s="46">
        <f>IF(ISBLANK(TechData!J2),"",TechData!J2)</f>
        <v>315</v>
      </c>
      <c r="I2" s="46" t="str">
        <f>IF(ISBLANK(TechData!K2),"",TechData!K2)</f>
        <v/>
      </c>
      <c r="J2" s="46" t="str">
        <f>IF(ISBLANK(TechData!L2),"",TechData!L2)</f>
        <v/>
      </c>
      <c r="K2" s="46" t="str">
        <f>IF(ISBLANK(TechData!M2),"",TechData!M2)</f>
        <v/>
      </c>
    </row>
    <row r="3" spans="1:15" x14ac:dyDescent="0.2">
      <c r="A3" s="47" t="str">
        <f>IF(ISBLANK(TechData!C3),"",TechData!C3)</f>
        <v>Plenum</v>
      </c>
      <c r="B3" s="46">
        <f>IF(ISBLANK(TechData!D4),"",TechData!D4)</f>
        <v>100</v>
      </c>
      <c r="C3" s="46">
        <f>IF(ISBLANK(TechData!E4),"",TechData!E4)</f>
        <v>125</v>
      </c>
      <c r="D3" s="46">
        <f>IF(ISBLANK(TechData!F4),"",TechData!F4)</f>
        <v>100</v>
      </c>
      <c r="E3" s="46">
        <f>IF(ISBLANK(TechData!G4),"",TechData!G4)</f>
        <v>125</v>
      </c>
      <c r="F3" s="46">
        <f>IF(ISBLANK(TechData!H4),"",TechData!H4)</f>
        <v>160</v>
      </c>
      <c r="G3" s="46">
        <f>IF(ISBLANK(TechData!I4),"",TechData!I4)</f>
        <v>200</v>
      </c>
      <c r="H3" s="46">
        <f>IF(ISBLANK(TechData!J4),"",TechData!J4)</f>
        <v>250</v>
      </c>
      <c r="I3" s="46" t="str">
        <f>IF(ISBLANK(TechData!K3),"",TechData!K3)</f>
        <v/>
      </c>
      <c r="J3" s="46" t="str">
        <f>IF(ISBLANK(TechData!L3),"",TechData!L3)</f>
        <v/>
      </c>
      <c r="K3" s="46" t="str">
        <f>IF(ISBLANK(TechData!M3),"",TechData!M3)</f>
        <v/>
      </c>
      <c r="O3" s="44"/>
    </row>
    <row r="4" spans="1:15" x14ac:dyDescent="0.2">
      <c r="A4" s="47" t="str">
        <f>IF(ISBLANK(TechData!C4),"",TechData!C4)</f>
        <v>Ø Spigot</v>
      </c>
      <c r="B4" s="46" t="str">
        <f>IF(ISBLANK(TechData!D3),"",TechData!D3)</f>
        <v>MCAS 100 294</v>
      </c>
      <c r="C4" s="46" t="str">
        <f>IF(ISBLANK(TechData!E3),"",TechData!E3)</f>
        <v>MCAS 125 294</v>
      </c>
      <c r="D4" s="46" t="str">
        <f>IF(ISBLANK(TechData!F3),"",TechData!F3)</f>
        <v>MCAS 100 594</v>
      </c>
      <c r="E4" s="46" t="str">
        <f>IF(ISBLANK(TechData!G3),"",TechData!G3)</f>
        <v>MCAS 125 594</v>
      </c>
      <c r="F4" s="46" t="str">
        <f>IF(ISBLANK(TechData!H3),"",TechData!H3)</f>
        <v>MCAS 160 594</v>
      </c>
      <c r="G4" s="46" t="str">
        <f>IF(ISBLANK(TechData!I3),"",TechData!I3)</f>
        <v>MCAS 200 594</v>
      </c>
      <c r="H4" s="46" t="str">
        <f>IF(ISBLANK(TechData!J3),"",TechData!J3)</f>
        <v>MCAS 250 594</v>
      </c>
      <c r="I4" s="46" t="str">
        <f>IF(ISBLANK(TechData!K4),"",TechData!K4)</f>
        <v/>
      </c>
      <c r="J4" s="46" t="str">
        <f>IF(ISBLANK(TechData!L4),"",TechData!L4)</f>
        <v/>
      </c>
      <c r="K4" s="46" t="str">
        <f>IF(ISBLANK(TechData!M4),"",TechData!M4)</f>
        <v/>
      </c>
    </row>
    <row r="5" spans="1:15" x14ac:dyDescent="0.2">
      <c r="A5" s="47" t="str">
        <f>IF(ISBLANK(TechData!C1),"",TechData!C1)</f>
        <v>Type</v>
      </c>
      <c r="B5" s="46" t="str">
        <f>IF(ISBLANK(TechData!D1),"",TechData!D1)</f>
        <v>MCWS 125 294</v>
      </c>
      <c r="C5" s="46" t="str">
        <f>IF(ISBLANK(TechData!E1),"",TechData!E1)</f>
        <v>MCWS 160 294</v>
      </c>
      <c r="D5" s="46" t="str">
        <f>IF(ISBLANK(TechData!F1),"",TechData!F1)</f>
        <v>MCWS 125 594</v>
      </c>
      <c r="E5" s="46" t="str">
        <f>IF(ISBLANK(TechData!G1),"",TechData!G1)</f>
        <v>MCWS 160 594</v>
      </c>
      <c r="F5" s="46" t="str">
        <f>IF(ISBLANK(TechData!H1),"",TechData!H1)</f>
        <v>MCWS 200 594</v>
      </c>
      <c r="G5" s="46" t="str">
        <f>IF(ISBLANK(TechData!I1),"",TechData!I1)</f>
        <v>MCWS 250 594</v>
      </c>
      <c r="H5" s="46" t="str">
        <f>IF(ISBLANK(TechData!J1),"",TechData!J1)</f>
        <v>MCWS 315 594</v>
      </c>
      <c r="I5" s="46" t="str">
        <f>IF(ISBLANK(TechData!K1),"",TechData!K1)</f>
        <v/>
      </c>
      <c r="J5" s="46" t="str">
        <f>IF(ISBLANK(TechData!L1),"",TechData!L1)</f>
        <v/>
      </c>
      <c r="K5" s="46" t="str">
        <f>IF(ISBLANK(TechData!M1),"",TechData!M1)</f>
        <v/>
      </c>
    </row>
    <row r="6" spans="1:15" x14ac:dyDescent="0.2">
      <c r="A6" s="54" t="str">
        <f>IF(ISBLANK(TechData!C5),"",TechData!C5)</f>
        <v>Damper position</v>
      </c>
      <c r="B6" s="55" t="str">
        <f>IF(ISBLANK(TechData!D5),"",TechData!D5)</f>
        <v>100% (open)</v>
      </c>
      <c r="C6" s="55" t="str">
        <f>IF(ISBLANK(TechData!E5),"",TechData!E5)</f>
        <v>100% (open)</v>
      </c>
      <c r="D6" s="55" t="str">
        <f>IF(ISBLANK(TechData!F5),"",TechData!F5)</f>
        <v>100% (open)</v>
      </c>
      <c r="E6" s="55" t="str">
        <f>IF(ISBLANK(TechData!G5),"",TechData!G5)</f>
        <v>100% (open)</v>
      </c>
      <c r="F6" s="55" t="str">
        <f>IF(ISBLANK(TechData!H5),"",TechData!H5)</f>
        <v>100% (open)</v>
      </c>
      <c r="G6" s="55" t="str">
        <f>IF(ISBLANK(TechData!I5),"",TechData!I5)</f>
        <v>100% (open)</v>
      </c>
      <c r="H6" s="55" t="str">
        <f>IF(ISBLANK(TechData!J5),"",TechData!J5)</f>
        <v>100% (open)</v>
      </c>
      <c r="I6" s="55" t="str">
        <f>IF(ISBLANK(TechData!K5),"",TechData!K5)</f>
        <v/>
      </c>
      <c r="J6" s="55" t="str">
        <f>IF(ISBLANK(TechData!L5),"",TechData!L5)</f>
        <v/>
      </c>
      <c r="K6" s="55" t="str">
        <f>IF(ISBLANK(TechData!M5),"",TechData!M5)</f>
        <v/>
      </c>
    </row>
    <row r="7" spans="1:15" ht="15" x14ac:dyDescent="0.25">
      <c r="A7" s="49" t="s">
        <v>2</v>
      </c>
    </row>
    <row r="8" spans="1:15" x14ac:dyDescent="0.2">
      <c r="A8" s="48" t="s">
        <v>40</v>
      </c>
    </row>
    <row r="9" spans="1:15" x14ac:dyDescent="0.2">
      <c r="A9" s="50">
        <v>4</v>
      </c>
      <c r="B9" s="51" t="str">
        <f>IF(ISBLANK(TechData!D15),"",TechData!D15)</f>
        <v/>
      </c>
      <c r="C9" s="51" t="str">
        <f>IF(ISBLANK(TechData!E15),"",TechData!E15)</f>
        <v/>
      </c>
      <c r="D9" s="51">
        <f>IF(ISBLANK(TechData!F15),"",TechData!F15)</f>
        <v>0.91094723018410551</v>
      </c>
      <c r="E9" s="51">
        <f>IF(ISBLANK(TechData!G15),"",TechData!G15)</f>
        <v>0.91094723018410551</v>
      </c>
      <c r="F9" s="51">
        <f>IF(ISBLANK(TechData!H15),"",TechData!H15)</f>
        <v>0.91094723018410551</v>
      </c>
      <c r="G9" s="51">
        <f>IF(ISBLANK(TechData!I15),"",TechData!I15)</f>
        <v>1.1409504477569949</v>
      </c>
      <c r="H9" s="51">
        <f>IF(ISBLANK(TechData!J15),"",TechData!J15)</f>
        <v>1.1409504477569949</v>
      </c>
      <c r="I9" s="51" t="str">
        <f>IF(ISBLANK(TechData!K15),"",TechData!K15)</f>
        <v/>
      </c>
      <c r="J9" s="51" t="str">
        <f>IF(ISBLANK(TechData!L15),"",TechData!L15)</f>
        <v/>
      </c>
      <c r="K9" s="51" t="str">
        <f>IF(ISBLANK(TechData!M15),"",TechData!M15)</f>
        <v/>
      </c>
    </row>
    <row r="10" spans="1:15" x14ac:dyDescent="0.2">
      <c r="A10" s="50">
        <v>6</v>
      </c>
      <c r="B10" s="51" t="str">
        <f>IF(ISBLANK(TechData!D17),"",TechData!D17)</f>
        <v/>
      </c>
      <c r="C10" s="51" t="str">
        <f>IF(ISBLANK(TechData!E17),"",TechData!E17)</f>
        <v/>
      </c>
      <c r="D10" s="51">
        <f>IF(ISBLANK(TechData!F17),"",TechData!F17)</f>
        <v>0.91094723018410551</v>
      </c>
      <c r="E10" s="51">
        <f>IF(ISBLANK(TechData!G17),"",TechData!G17)</f>
        <v>0.91094723018410551</v>
      </c>
      <c r="F10" s="51">
        <f>IF(ISBLANK(TechData!H17),"",TechData!H17)</f>
        <v>0.91094723018410551</v>
      </c>
      <c r="G10" s="51">
        <f>IF(ISBLANK(TechData!I17),"",TechData!I17)</f>
        <v>1.1409504477569949</v>
      </c>
      <c r="H10" s="51">
        <f>IF(ISBLANK(TechData!J17),"",TechData!J17)</f>
        <v>1.1409504477569949</v>
      </c>
      <c r="I10" s="51" t="str">
        <f>IF(ISBLANK(TechData!K17),"",TechData!K17)</f>
        <v/>
      </c>
      <c r="J10" s="51" t="str">
        <f>IF(ISBLANK(TechData!L17),"",TechData!L17)</f>
        <v/>
      </c>
      <c r="K10" s="51" t="str">
        <f>IF(ISBLANK(TechData!M17),"",TechData!M17)</f>
        <v/>
      </c>
    </row>
    <row r="11" spans="1:15" x14ac:dyDescent="0.2">
      <c r="A11" s="50">
        <v>8</v>
      </c>
      <c r="B11" s="51" t="str">
        <f>IF(ISBLANK(TechData!D19),"",TechData!D19)</f>
        <v/>
      </c>
      <c r="C11" s="51" t="str">
        <f>IF(ISBLANK(TechData!E19),"",TechData!E19)</f>
        <v/>
      </c>
      <c r="D11" s="51">
        <f>IF(ISBLANK(TechData!F19),"",TechData!F19)</f>
        <v>0.91094723018410551</v>
      </c>
      <c r="E11" s="51">
        <f>IF(ISBLANK(TechData!G19),"",TechData!G19)</f>
        <v>0.91094723018410551</v>
      </c>
      <c r="F11" s="51">
        <f>IF(ISBLANK(TechData!H19),"",TechData!H19)</f>
        <v>0.91094723018410551</v>
      </c>
      <c r="G11" s="51">
        <f>IF(ISBLANK(TechData!I19),"",TechData!I19)</f>
        <v>1.1409504477569949</v>
      </c>
      <c r="H11" s="51">
        <f>IF(ISBLANK(TechData!J19),"",TechData!J19)</f>
        <v>1.1409504477569949</v>
      </c>
      <c r="I11" s="51" t="str">
        <f>IF(ISBLANK(TechData!K19),"",TechData!K19)</f>
        <v/>
      </c>
      <c r="J11" s="51" t="str">
        <f>IF(ISBLANK(TechData!L19),"",TechData!L19)</f>
        <v/>
      </c>
      <c r="K11" s="51" t="str">
        <f>IF(ISBLANK(TechData!M19),"",TechData!M19)</f>
        <v/>
      </c>
    </row>
    <row r="12" spans="1:15" x14ac:dyDescent="0.2">
      <c r="A12" s="50">
        <v>10</v>
      </c>
      <c r="B12" s="51" t="str">
        <f>IF(ISBLANK(TechData!D21),"",TechData!D21)</f>
        <v/>
      </c>
      <c r="C12" s="51" t="str">
        <f>IF(ISBLANK(TechData!E21),"",TechData!E21)</f>
        <v/>
      </c>
      <c r="D12" s="51">
        <f>IF(ISBLANK(TechData!F21),"",TechData!F21)</f>
        <v>0.91094723018410551</v>
      </c>
      <c r="E12" s="51">
        <f>IF(ISBLANK(TechData!G21),"",TechData!G21)</f>
        <v>0.91094723018410551</v>
      </c>
      <c r="F12" s="51">
        <f>IF(ISBLANK(TechData!H21),"",TechData!H21)</f>
        <v>0.91094723018410551</v>
      </c>
      <c r="G12" s="51">
        <f>IF(ISBLANK(TechData!I21),"",TechData!I21)</f>
        <v>1.1409504477569949</v>
      </c>
      <c r="H12" s="51">
        <f>IF(ISBLANK(TechData!J21),"",TechData!J21)</f>
        <v>1.1409504477569949</v>
      </c>
      <c r="I12" s="51" t="str">
        <f>IF(ISBLANK(TechData!K21),"",TechData!K21)</f>
        <v/>
      </c>
      <c r="J12" s="51" t="str">
        <f>IF(ISBLANK(TechData!L21),"",TechData!L21)</f>
        <v/>
      </c>
      <c r="K12" s="51" t="str">
        <f>IF(ISBLANK(TechData!M21),"",TechData!M21)</f>
        <v/>
      </c>
    </row>
    <row r="13" spans="1:15" x14ac:dyDescent="0.2">
      <c r="A13" s="50">
        <v>12</v>
      </c>
      <c r="B13" s="51" t="str">
        <f>IF(ISBLANK(TechData!D23),"",TechData!D23)</f>
        <v/>
      </c>
      <c r="C13" s="51" t="str">
        <f>IF(ISBLANK(TechData!E23),"",TechData!E23)</f>
        <v/>
      </c>
      <c r="D13" s="51">
        <f>IF(ISBLANK(TechData!F23),"",TechData!F23)</f>
        <v>0.91094723018410551</v>
      </c>
      <c r="E13" s="51">
        <f>IF(ISBLANK(TechData!G23),"",TechData!G23)</f>
        <v>0.91094723018410551</v>
      </c>
      <c r="F13" s="51">
        <f>IF(ISBLANK(TechData!H23),"",TechData!H23)</f>
        <v>0.91094723018410551</v>
      </c>
      <c r="G13" s="51">
        <f>IF(ISBLANK(TechData!I23),"",TechData!I23)</f>
        <v>1.1409504477569949</v>
      </c>
      <c r="H13" s="51">
        <f>IF(ISBLANK(TechData!J23),"",TechData!J23)</f>
        <v>1.1409504477569949</v>
      </c>
      <c r="I13" s="51" t="str">
        <f>IF(ISBLANK(TechData!K23),"",TechData!K23)</f>
        <v/>
      </c>
      <c r="J13" s="51" t="str">
        <f>IF(ISBLANK(TechData!L23),"",TechData!L23)</f>
        <v/>
      </c>
      <c r="K13" s="51" t="str">
        <f>IF(ISBLANK(TechData!M23),"",TechData!M23)</f>
        <v/>
      </c>
    </row>
    <row r="14" spans="1:15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5" x14ac:dyDescent="0.2">
      <c r="A16" s="50">
        <v>4</v>
      </c>
      <c r="B16" s="51" t="str">
        <f>IF(ISBLANK(TechData!D16),"",TechData!D16)</f>
        <v/>
      </c>
      <c r="C16" s="51" t="str">
        <f>IF(ISBLANK(TechData!E16),"",TechData!E16)</f>
        <v/>
      </c>
      <c r="D16" s="51">
        <f>IF(ISBLANK(TechData!F16),"",TechData!F16)</f>
        <v>-1.7647926606598565</v>
      </c>
      <c r="E16" s="51">
        <f>IF(ISBLANK(TechData!G16),"",TechData!G16)</f>
        <v>-1.7647926606598565</v>
      </c>
      <c r="F16" s="51">
        <f>IF(ISBLANK(TechData!H16),"",TechData!H16)</f>
        <v>-1.7647926606598565</v>
      </c>
      <c r="G16" s="51">
        <f>IF(ISBLANK(TechData!I16),"",TechData!I16)</f>
        <v>-2.2798495917700818</v>
      </c>
      <c r="H16" s="51">
        <f>IF(ISBLANK(TechData!J16),"",TechData!J16)</f>
        <v>-2.2798495917700818</v>
      </c>
      <c r="I16" s="51" t="str">
        <f>IF(ISBLANK(TechData!K16),"",TechData!K16)</f>
        <v/>
      </c>
      <c r="J16" s="51" t="str">
        <f>IF(ISBLANK(TechData!L16),"",TechData!L16)</f>
        <v/>
      </c>
      <c r="K16" s="51" t="str">
        <f>IF(ISBLANK(TechData!M16),"",TechData!M16)</f>
        <v/>
      </c>
    </row>
    <row r="17" spans="1:11" x14ac:dyDescent="0.2">
      <c r="A17" s="50">
        <v>6</v>
      </c>
      <c r="B17" s="51" t="str">
        <f>IF(ISBLANK(TechData!D18),"",TechData!D18)</f>
        <v/>
      </c>
      <c r="C17" s="51" t="str">
        <f>IF(ISBLANK(TechData!E18),"",TechData!E18)</f>
        <v/>
      </c>
      <c r="D17" s="51">
        <f>IF(ISBLANK(TechData!F18),"",TechData!F18)</f>
        <v>-1.8460441242224346</v>
      </c>
      <c r="E17" s="51">
        <f>IF(ISBLANK(TechData!G18),"",TechData!G18)</f>
        <v>-1.8460441242224346</v>
      </c>
      <c r="F17" s="51">
        <f>IF(ISBLANK(TechData!H18),"",TechData!H18)</f>
        <v>-1.8460441242224346</v>
      </c>
      <c r="G17" s="51">
        <f>IF(ISBLANK(TechData!I18),"",TechData!I18)</f>
        <v>-2.4362349838188528</v>
      </c>
      <c r="H17" s="51">
        <f>IF(ISBLANK(TechData!J18),"",TechData!J18)</f>
        <v>-2.4362349838188528</v>
      </c>
      <c r="I17" s="51" t="str">
        <f>IF(ISBLANK(TechData!K18),"",TechData!K18)</f>
        <v/>
      </c>
      <c r="J17" s="51" t="str">
        <f>IF(ISBLANK(TechData!L18),"",TechData!L18)</f>
        <v/>
      </c>
      <c r="K17" s="51" t="str">
        <f>IF(ISBLANK(TechData!M18),"",TechData!M18)</f>
        <v/>
      </c>
    </row>
    <row r="18" spans="1:11" x14ac:dyDescent="0.2">
      <c r="A18" s="50">
        <v>8</v>
      </c>
      <c r="B18" s="51" t="str">
        <f>IF(ISBLANK(TechData!D20),"",TechData!D20)</f>
        <v/>
      </c>
      <c r="C18" s="51" t="str">
        <f>IF(ISBLANK(TechData!E20),"",TechData!E20)</f>
        <v/>
      </c>
      <c r="D18" s="51">
        <f>IF(ISBLANK(TechData!F20),"",TechData!F20)</f>
        <v>-1.903692955058915</v>
      </c>
      <c r="E18" s="51">
        <f>IF(ISBLANK(TechData!G20),"",TechData!G20)</f>
        <v>-1.903692955058915</v>
      </c>
      <c r="F18" s="51">
        <f>IF(ISBLANK(TechData!H20),"",TechData!H20)</f>
        <v>-1.903692955058915</v>
      </c>
      <c r="G18" s="51">
        <f>IF(ISBLANK(TechData!I20),"",TechData!I20)</f>
        <v>-2.5471921852798798</v>
      </c>
      <c r="H18" s="51">
        <f>IF(ISBLANK(TechData!J20),"",TechData!J20)</f>
        <v>-2.5471921852798798</v>
      </c>
      <c r="I18" s="51" t="str">
        <f>IF(ISBLANK(TechData!K20),"",TechData!K20)</f>
        <v/>
      </c>
      <c r="J18" s="51" t="str">
        <f>IF(ISBLANK(TechData!L20),"",TechData!L20)</f>
        <v/>
      </c>
      <c r="K18" s="51" t="str">
        <f>IF(ISBLANK(TechData!M20),"",TechData!M20)</f>
        <v/>
      </c>
    </row>
    <row r="19" spans="1:11" x14ac:dyDescent="0.2">
      <c r="A19" s="50">
        <v>10</v>
      </c>
      <c r="B19" s="51" t="str">
        <f>IF(ISBLANK(TechData!D22),"",TechData!D22)</f>
        <v/>
      </c>
      <c r="C19" s="51" t="str">
        <f>IF(ISBLANK(TechData!E22),"",TechData!E22)</f>
        <v/>
      </c>
      <c r="D19" s="51">
        <f>IF(ISBLANK(TechData!F22),"",TechData!F22)</f>
        <v>-1.9484088622140976</v>
      </c>
      <c r="E19" s="51">
        <f>IF(ISBLANK(TechData!G22),"",TechData!G22)</f>
        <v>-1.9484088622140976</v>
      </c>
      <c r="F19" s="51">
        <f>IF(ISBLANK(TechData!H22),"",TechData!H22)</f>
        <v>-1.9484088622140976</v>
      </c>
      <c r="G19" s="51">
        <f>IF(ISBLANK(TechData!I22),"",TechData!I22)</f>
        <v>-2.6332572770907356</v>
      </c>
      <c r="H19" s="51">
        <f>IF(ISBLANK(TechData!J22),"",TechData!J22)</f>
        <v>-2.6332572770907356</v>
      </c>
      <c r="I19" s="51" t="str">
        <f>IF(ISBLANK(TechData!K22),"",TechData!K22)</f>
        <v/>
      </c>
      <c r="J19" s="51" t="str">
        <f>IF(ISBLANK(TechData!L22),"",TechData!L22)</f>
        <v/>
      </c>
      <c r="K19" s="51" t="str">
        <f>IF(ISBLANK(TechData!M22),"",TechData!M22)</f>
        <v/>
      </c>
    </row>
    <row r="20" spans="1:11" x14ac:dyDescent="0.2">
      <c r="A20" s="50">
        <v>12</v>
      </c>
      <c r="B20" s="51" t="str">
        <f>IF(ISBLANK(TechData!D24),"",TechData!D24)</f>
        <v/>
      </c>
      <c r="C20" s="51" t="str">
        <f>IF(ISBLANK(TechData!E24),"",TechData!E24)</f>
        <v/>
      </c>
      <c r="D20" s="51">
        <f>IF(ISBLANK(TechData!F24),"",TechData!F24)</f>
        <v>-1.9849444186214931</v>
      </c>
      <c r="E20" s="51">
        <f>IF(ISBLANK(TechData!G24),"",TechData!G24)</f>
        <v>-1.9849444186214931</v>
      </c>
      <c r="F20" s="51">
        <f>IF(ISBLANK(TechData!H24),"",TechData!H24)</f>
        <v>-1.9849444186214931</v>
      </c>
      <c r="G20" s="51">
        <f>IF(ISBLANK(TechData!I24),"",TechData!I24)</f>
        <v>-2.7035775773286508</v>
      </c>
      <c r="H20" s="51">
        <f>IF(ISBLANK(TechData!J24),"",TechData!J24)</f>
        <v>-2.7035775773286508</v>
      </c>
      <c r="I20" s="51" t="str">
        <f>IF(ISBLANK(TechData!K24),"",TechData!K24)</f>
        <v/>
      </c>
      <c r="J20" s="51" t="str">
        <f>IF(ISBLANK(TechData!L24),"",TechData!L24)</f>
        <v/>
      </c>
      <c r="K20" s="51" t="str">
        <f>IF(ISBLANK(TechData!M24),"",TechData!M24)</f>
        <v/>
      </c>
    </row>
    <row r="22" spans="1:11" x14ac:dyDescent="0.2">
      <c r="A22" s="53" t="s">
        <v>41</v>
      </c>
    </row>
    <row r="23" spans="1:11" x14ac:dyDescent="0.2">
      <c r="A23" s="50">
        <f>ABS(SelectionData!$C$5-SelectionData!$C$4)</f>
        <v>10</v>
      </c>
    </row>
    <row r="24" spans="1:11" x14ac:dyDescent="0.2">
      <c r="A24" s="50" t="s">
        <v>47</v>
      </c>
      <c r="B24" s="50" t="str">
        <f ca="1">IF(B9="","",IF($A$23&lt;4,4,IF($A$23&gt;12,10,OFFSET($A$9,MATCH($A$23,$A$9:$A$13)-1,0))))</f>
        <v/>
      </c>
      <c r="C24" s="50" t="str">
        <f t="shared" ref="C24:K24" ca="1" si="0">IF(C9="","",IF($A$23&lt;4,4,IF($A$23&gt;12,10,OFFSET($A$9,MATCH($A$23,$A$9:$A$13)-1,0))))</f>
        <v/>
      </c>
      <c r="D24" s="50">
        <f t="shared" ca="1" si="0"/>
        <v>10</v>
      </c>
      <c r="E24" s="50">
        <f t="shared" ca="1" si="0"/>
        <v>10</v>
      </c>
      <c r="F24" s="50">
        <f t="shared" ca="1" si="0"/>
        <v>10</v>
      </c>
      <c r="G24" s="50">
        <f t="shared" ca="1" si="0"/>
        <v>10</v>
      </c>
      <c r="H24" s="50">
        <f t="shared" ca="1" si="0"/>
        <v>10</v>
      </c>
      <c r="I24" s="50" t="str">
        <f t="shared" ca="1" si="0"/>
        <v/>
      </c>
      <c r="J24" s="50" t="str">
        <f t="shared" ca="1" si="0"/>
        <v/>
      </c>
      <c r="K24" s="50" t="str">
        <f t="shared" ca="1" si="0"/>
        <v/>
      </c>
    </row>
    <row r="25" spans="1:11" x14ac:dyDescent="0.2">
      <c r="A25" s="50" t="s">
        <v>46</v>
      </c>
      <c r="B25" s="50" t="str">
        <f ca="1">IF(B9="","",IF($A$23&lt;4,6,IF($A$23&gt;12,12,OFFSET($A$9,MATCH($A$23,$A$9:$A$13),0))))</f>
        <v/>
      </c>
      <c r="C25" s="50" t="str">
        <f t="shared" ref="C25:K25" ca="1" si="1">IF(C9="","",IF($A$23&lt;4,6,IF($A$23&gt;12,12,OFFSET($A$9,MATCH($A$23,$A$9:$A$13),0))))</f>
        <v/>
      </c>
      <c r="D25" s="50">
        <f t="shared" ca="1" si="1"/>
        <v>12</v>
      </c>
      <c r="E25" s="50">
        <f t="shared" ca="1" si="1"/>
        <v>12</v>
      </c>
      <c r="F25" s="50">
        <f t="shared" ca="1" si="1"/>
        <v>12</v>
      </c>
      <c r="G25" s="50">
        <f t="shared" ca="1" si="1"/>
        <v>12</v>
      </c>
      <c r="H25" s="50">
        <f t="shared" ca="1" si="1"/>
        <v>12</v>
      </c>
      <c r="I25" s="50" t="str">
        <f t="shared" ca="1" si="1"/>
        <v/>
      </c>
      <c r="J25" s="50" t="str">
        <f t="shared" ca="1" si="1"/>
        <v/>
      </c>
      <c r="K25" s="50" t="str">
        <f t="shared" ca="1" si="1"/>
        <v/>
      </c>
    </row>
    <row r="26" spans="1:11" x14ac:dyDescent="0.2">
      <c r="A26" s="50" t="s">
        <v>42</v>
      </c>
      <c r="B26" s="50" t="str">
        <f ca="1">IF(B9="","",IF($A$23&lt;4,B9,IF($A$23&gt;12,B12,OFFSET(B$9,MATCH($A$23,$A$9:$A$13)-1,0))))</f>
        <v/>
      </c>
      <c r="C26" s="50" t="str">
        <f t="shared" ref="C26:K26" ca="1" si="2">IF(C9="","",IF($A$23&lt;4,C9,IF($A$23&gt;12,C12,OFFSET(C$9,MATCH($A$23,$A$9:$A$13)-1,0))))</f>
        <v/>
      </c>
      <c r="D26" s="50">
        <f t="shared" ca="1" si="2"/>
        <v>0.91094723018410551</v>
      </c>
      <c r="E26" s="50">
        <f t="shared" ca="1" si="2"/>
        <v>0.91094723018410551</v>
      </c>
      <c r="F26" s="50">
        <f t="shared" ca="1" si="2"/>
        <v>0.91094723018410551</v>
      </c>
      <c r="G26" s="50">
        <f t="shared" ca="1" si="2"/>
        <v>1.1409504477569949</v>
      </c>
      <c r="H26" s="50">
        <f t="shared" ca="1" si="2"/>
        <v>1.1409504477569949</v>
      </c>
      <c r="I26" s="50" t="str">
        <f t="shared" ca="1" si="2"/>
        <v/>
      </c>
      <c r="J26" s="50" t="str">
        <f t="shared" ca="1" si="2"/>
        <v/>
      </c>
      <c r="K26" s="50" t="str">
        <f t="shared" ca="1" si="2"/>
        <v/>
      </c>
    </row>
    <row r="27" spans="1:11" x14ac:dyDescent="0.2">
      <c r="A27" s="50" t="s">
        <v>43</v>
      </c>
      <c r="B27" s="50" t="str">
        <f ca="1">IF(B9="","",IF($A$23&lt;4,B10,IF($A$23&gt;12,B13,OFFSET(B$9,MATCH($A$23,$A$9:$A$13),0))))</f>
        <v/>
      </c>
      <c r="C27" s="50" t="str">
        <f t="shared" ref="C27:K27" ca="1" si="3">IF(C9="","",IF($A$23&lt;4,C10,IF($A$23&gt;12,C13,OFFSET(C$9,MATCH($A$23,$A$9:$A$13),0))))</f>
        <v/>
      </c>
      <c r="D27" s="50">
        <f t="shared" ca="1" si="3"/>
        <v>0.91094723018410551</v>
      </c>
      <c r="E27" s="50">
        <f t="shared" ca="1" si="3"/>
        <v>0.91094723018410551</v>
      </c>
      <c r="F27" s="50">
        <f t="shared" ca="1" si="3"/>
        <v>0.91094723018410551</v>
      </c>
      <c r="G27" s="50">
        <f t="shared" ca="1" si="3"/>
        <v>1.1409504477569949</v>
      </c>
      <c r="H27" s="50">
        <f t="shared" ca="1" si="3"/>
        <v>1.1409504477569949</v>
      </c>
      <c r="I27" s="50" t="str">
        <f t="shared" ca="1" si="3"/>
        <v/>
      </c>
      <c r="J27" s="50" t="str">
        <f t="shared" ca="1" si="3"/>
        <v/>
      </c>
      <c r="K27" s="50" t="str">
        <f t="shared" ca="1" si="3"/>
        <v/>
      </c>
    </row>
    <row r="28" spans="1:11" x14ac:dyDescent="0.2">
      <c r="A28" s="50" t="s">
        <v>44</v>
      </c>
      <c r="B28" s="50" t="str">
        <f ca="1">IF(B16="","",IF($A$23&lt;4,B16,IF($A$23&gt;12,B19,OFFSET(B$16,MATCH($A$23,$A$16:$A$20)-1,0))))</f>
        <v/>
      </c>
      <c r="C28" s="50" t="str">
        <f t="shared" ref="C28:K28" ca="1" si="4">IF(C16="","",IF($A$23&lt;4,C16,IF($A$23&gt;12,C19,OFFSET(C$16,MATCH($A$23,$A$16:$A$20)-1,0))))</f>
        <v/>
      </c>
      <c r="D28" s="50">
        <f t="shared" ca="1" si="4"/>
        <v>-1.9484088622140976</v>
      </c>
      <c r="E28" s="50">
        <f t="shared" ca="1" si="4"/>
        <v>-1.9484088622140976</v>
      </c>
      <c r="F28" s="50">
        <f t="shared" ca="1" si="4"/>
        <v>-1.9484088622140976</v>
      </c>
      <c r="G28" s="50">
        <f t="shared" ca="1" si="4"/>
        <v>-2.6332572770907356</v>
      </c>
      <c r="H28" s="50">
        <f t="shared" ca="1" si="4"/>
        <v>-2.6332572770907356</v>
      </c>
      <c r="I28" s="50" t="str">
        <f t="shared" ca="1" si="4"/>
        <v/>
      </c>
      <c r="J28" s="50" t="str">
        <f t="shared" ca="1" si="4"/>
        <v/>
      </c>
      <c r="K28" s="50" t="str">
        <f t="shared" ca="1" si="4"/>
        <v/>
      </c>
    </row>
    <row r="29" spans="1:11" x14ac:dyDescent="0.2">
      <c r="A29" s="50" t="s">
        <v>45</v>
      </c>
      <c r="B29" s="50" t="str">
        <f ca="1">IF(B16="","",IF($A$23&lt;4,B17,IF($A$23&gt;12,B20,OFFSET(B$16,MATCH($A$23,$A$16:$A$20),0))))</f>
        <v/>
      </c>
      <c r="C29" s="50" t="str">
        <f t="shared" ref="C29:K29" ca="1" si="5">IF(C16="","",IF($A$23&lt;4,C17,IF($A$23&gt;12,C20,OFFSET(C$16,MATCH($A$23,$A$16:$A$20),0))))</f>
        <v/>
      </c>
      <c r="D29" s="50">
        <f t="shared" ca="1" si="5"/>
        <v>-1.9849444186214931</v>
      </c>
      <c r="E29" s="50">
        <f t="shared" ca="1" si="5"/>
        <v>-1.9849444186214931</v>
      </c>
      <c r="F29" s="50">
        <f t="shared" ca="1" si="5"/>
        <v>-1.9849444186214931</v>
      </c>
      <c r="G29" s="50">
        <f t="shared" ca="1" si="5"/>
        <v>-2.7035775773286508</v>
      </c>
      <c r="H29" s="50">
        <f t="shared" ca="1" si="5"/>
        <v>-2.7035775773286508</v>
      </c>
      <c r="I29" s="50" t="str">
        <f t="shared" ca="1" si="5"/>
        <v/>
      </c>
      <c r="J29" s="50" t="str">
        <f t="shared" ca="1" si="5"/>
        <v/>
      </c>
      <c r="K29" s="50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0" ma:contentTypeDescription="Een nieuw document maken." ma:contentTypeScope="" ma:versionID="886eb9702c8b66813f5af07540914393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4299150a9e11f678e88fbf84013d6a2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20DA8-D69A-481F-BDB0-9A20A76281C8}"/>
</file>

<file path=customXml/itemProps2.xml><?xml version="1.0" encoding="utf-8"?>
<ds:datastoreItem xmlns:ds="http://schemas.openxmlformats.org/officeDocument/2006/customXml" ds:itemID="{41C46CEC-CBC1-4772-AA6A-7BB297BA5ABD}"/>
</file>

<file path=customXml/itemProps3.xml><?xml version="1.0" encoding="utf-8"?>
<ds:datastoreItem xmlns:ds="http://schemas.openxmlformats.org/officeDocument/2006/customXml" ds:itemID="{6606E45B-750F-4F07-9D58-8F00A7712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2015-11-20T12:25:03Z</cp:lastPrinted>
  <dcterms:created xsi:type="dcterms:W3CDTF">2015-05-07T08:41:20Z</dcterms:created>
  <dcterms:modified xsi:type="dcterms:W3CDTF">2021-10-19T11:16:41Z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