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R&amp;D\Producten\05. Wervelroosters\WS230\Selection_Tools\"/>
    </mc:Choice>
  </mc:AlternateContent>
  <bookViews>
    <workbookView xWindow="0" yWindow="0" windowWidth="24000" windowHeight="9735"/>
  </bookViews>
  <sheets>
    <sheet name="SelectionData" sheetId="2" r:id="rId1"/>
    <sheet name="units" sheetId="4" state="hidden" r:id="rId2"/>
    <sheet name="TechData" sheetId="1" state="hidden" r:id="rId3"/>
    <sheet name="IntermediateCalcul" sheetId="3" state="hidden" r:id="rId4"/>
  </sheets>
  <definedNames>
    <definedName name="units">units!$A$1:$A$2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16" i="2" s="1"/>
  <c r="J9" i="2"/>
  <c r="J17" i="2" s="1"/>
  <c r="I10" i="2"/>
  <c r="J10" i="2"/>
  <c r="I11" i="2"/>
  <c r="J11" i="2"/>
  <c r="I12" i="2"/>
  <c r="J12" i="2"/>
  <c r="I13" i="2"/>
  <c r="J13" i="2"/>
  <c r="I14" i="2"/>
  <c r="J14" i="2"/>
  <c r="I15" i="2"/>
  <c r="J15" i="2"/>
  <c r="I17" i="2"/>
  <c r="I18" i="2"/>
  <c r="I20" i="2"/>
  <c r="I21" i="2"/>
  <c r="J21" i="2"/>
  <c r="I22" i="2"/>
  <c r="I26" i="2" s="1"/>
  <c r="L13" i="1"/>
  <c r="K13" i="1"/>
  <c r="J13" i="1"/>
  <c r="I13" i="1"/>
  <c r="H13" i="1"/>
  <c r="G13" i="1"/>
  <c r="F13" i="1"/>
  <c r="E13" i="1"/>
  <c r="D13" i="1"/>
  <c r="I27" i="2" l="1"/>
  <c r="I32" i="2"/>
  <c r="I30" i="2"/>
  <c r="I28" i="2"/>
  <c r="I31" i="2"/>
  <c r="I29" i="2"/>
  <c r="J22" i="2"/>
  <c r="J29" i="2" s="1"/>
  <c r="J20" i="2"/>
  <c r="J18" i="2"/>
  <c r="J16" i="2"/>
  <c r="J32" i="2"/>
  <c r="F9" i="2"/>
  <c r="F16" i="2" s="1"/>
  <c r="G9" i="2"/>
  <c r="G18" i="2" s="1"/>
  <c r="H9" i="2"/>
  <c r="H18" i="2" s="1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G16" i="2"/>
  <c r="H16" i="2"/>
  <c r="G20" i="2"/>
  <c r="H20" i="2"/>
  <c r="G22" i="2"/>
  <c r="G17" i="2" l="1"/>
  <c r="F21" i="2"/>
  <c r="J28" i="2"/>
  <c r="J30" i="2"/>
  <c r="J27" i="2"/>
  <c r="J31" i="2"/>
  <c r="J26" i="2"/>
  <c r="G21" i="2"/>
  <c r="G26" i="2" s="1"/>
  <c r="F17" i="2"/>
  <c r="H21" i="2"/>
  <c r="H17" i="2"/>
  <c r="F22" i="2"/>
  <c r="F29" i="2" s="1"/>
  <c r="F18" i="2"/>
  <c r="H22" i="2"/>
  <c r="F20" i="2"/>
  <c r="G29" i="2" l="1"/>
  <c r="G27" i="2"/>
  <c r="G30" i="2"/>
  <c r="G32" i="2"/>
  <c r="G31" i="2"/>
  <c r="G28" i="2"/>
  <c r="F26" i="2"/>
  <c r="F27" i="2"/>
  <c r="H29" i="2"/>
  <c r="H28" i="2"/>
  <c r="H32" i="2"/>
  <c r="H27" i="2"/>
  <c r="H31" i="2"/>
  <c r="H30" i="2"/>
  <c r="F31" i="2"/>
  <c r="F30" i="2"/>
  <c r="H26" i="2"/>
  <c r="F32" i="2"/>
  <c r="F28" i="2"/>
  <c r="B6" i="2" l="1"/>
  <c r="B21" i="2" s="1"/>
  <c r="B22" i="2" l="1"/>
  <c r="C14" i="2" l="1"/>
  <c r="D14" i="2"/>
  <c r="E14" i="2"/>
  <c r="C15" i="2"/>
  <c r="D15" i="2"/>
  <c r="E15" i="2"/>
  <c r="C10" i="2" l="1"/>
  <c r="D10" i="2"/>
  <c r="E10" i="2"/>
  <c r="C11" i="2"/>
  <c r="D11" i="2"/>
  <c r="E11" i="2"/>
  <c r="C12" i="2"/>
  <c r="D12" i="2"/>
  <c r="E12" i="2"/>
  <c r="C13" i="2"/>
  <c r="D13" i="2"/>
  <c r="E13" i="2"/>
  <c r="C9" i="2"/>
  <c r="D9" i="2"/>
  <c r="E9" i="2"/>
  <c r="A23" i="3"/>
  <c r="C19" i="3"/>
  <c r="D19" i="3"/>
  <c r="E19" i="3"/>
  <c r="F19" i="3"/>
  <c r="G19" i="3"/>
  <c r="H19" i="3"/>
  <c r="I19" i="3"/>
  <c r="J19" i="3"/>
  <c r="K19" i="3"/>
  <c r="B19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20" i="3"/>
  <c r="D20" i="3"/>
  <c r="E20" i="3"/>
  <c r="F20" i="3"/>
  <c r="G20" i="3"/>
  <c r="H20" i="3"/>
  <c r="I20" i="3"/>
  <c r="J20" i="3"/>
  <c r="K20" i="3"/>
  <c r="B20" i="3"/>
  <c r="B18" i="3"/>
  <c r="B17" i="3"/>
  <c r="B16" i="3"/>
  <c r="C9" i="3"/>
  <c r="D9" i="3"/>
  <c r="E9" i="3"/>
  <c r="F9" i="3"/>
  <c r="G9" i="3"/>
  <c r="H9" i="3"/>
  <c r="I9" i="3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B13" i="3"/>
  <c r="B12" i="3"/>
  <c r="B11" i="3"/>
  <c r="B10" i="3"/>
  <c r="B9" i="3"/>
  <c r="B2" i="3"/>
  <c r="C2" i="3"/>
  <c r="D2" i="3"/>
  <c r="E2" i="3"/>
  <c r="F2" i="3"/>
  <c r="G2" i="3"/>
  <c r="H2" i="3"/>
  <c r="I2" i="3"/>
  <c r="J2" i="3"/>
  <c r="K2" i="3"/>
  <c r="B3" i="3"/>
  <c r="C3" i="3"/>
  <c r="D3" i="3"/>
  <c r="E3" i="3"/>
  <c r="F3" i="3"/>
  <c r="G3" i="3"/>
  <c r="H3" i="3"/>
  <c r="I3" i="3"/>
  <c r="J3" i="3"/>
  <c r="K3" i="3"/>
  <c r="B4" i="3"/>
  <c r="C4" i="3"/>
  <c r="D4" i="3"/>
  <c r="E4" i="3"/>
  <c r="F4" i="3"/>
  <c r="G4" i="3"/>
  <c r="H4" i="3"/>
  <c r="I4" i="3"/>
  <c r="J4" i="3"/>
  <c r="K4" i="3"/>
  <c r="B5" i="3"/>
  <c r="C5" i="3"/>
  <c r="D5" i="3"/>
  <c r="E5" i="3"/>
  <c r="F5" i="3"/>
  <c r="G5" i="3"/>
  <c r="H5" i="3"/>
  <c r="I5" i="3"/>
  <c r="J5" i="3"/>
  <c r="K5" i="3"/>
  <c r="B6" i="3"/>
  <c r="C6" i="3"/>
  <c r="D6" i="3"/>
  <c r="E6" i="3"/>
  <c r="F6" i="3"/>
  <c r="G6" i="3"/>
  <c r="H6" i="3"/>
  <c r="I6" i="3"/>
  <c r="J6" i="3"/>
  <c r="K6" i="3"/>
  <c r="A3" i="3"/>
  <c r="A4" i="3"/>
  <c r="A5" i="3"/>
  <c r="A6" i="3"/>
  <c r="A2" i="3"/>
  <c r="D21" i="2" l="1"/>
  <c r="D22" i="2"/>
  <c r="C22" i="2"/>
  <c r="C21" i="2"/>
  <c r="E18" i="2"/>
  <c r="E22" i="2"/>
  <c r="E21" i="2"/>
  <c r="K25" i="3"/>
  <c r="K24" i="3"/>
  <c r="K27" i="3"/>
  <c r="K26" i="3"/>
  <c r="G25" i="3"/>
  <c r="G24" i="3"/>
  <c r="G27" i="3"/>
  <c r="G26" i="3"/>
  <c r="C27" i="3"/>
  <c r="C26" i="3"/>
  <c r="C25" i="3"/>
  <c r="C24" i="3"/>
  <c r="K28" i="3"/>
  <c r="K29" i="3"/>
  <c r="G28" i="3"/>
  <c r="G29" i="3"/>
  <c r="C28" i="3"/>
  <c r="C29" i="3"/>
  <c r="C17" i="2"/>
  <c r="J24" i="3"/>
  <c r="J27" i="3"/>
  <c r="J26" i="3"/>
  <c r="J25" i="3"/>
  <c r="F24" i="3"/>
  <c r="F27" i="3"/>
  <c r="F26" i="3"/>
  <c r="F25" i="3"/>
  <c r="B29" i="3"/>
  <c r="B28" i="3"/>
  <c r="J28" i="3"/>
  <c r="J29" i="3"/>
  <c r="F28" i="3"/>
  <c r="F29" i="3"/>
  <c r="I27" i="3"/>
  <c r="I26" i="3"/>
  <c r="I25" i="3"/>
  <c r="I24" i="3"/>
  <c r="I28" i="3"/>
  <c r="I29" i="3"/>
  <c r="E17" i="2"/>
  <c r="B27" i="3"/>
  <c r="B24" i="3"/>
  <c r="B25" i="3"/>
  <c r="B26" i="3"/>
  <c r="H27" i="3"/>
  <c r="H26" i="3"/>
  <c r="H25" i="3"/>
  <c r="H24" i="3"/>
  <c r="D27" i="3"/>
  <c r="D26" i="3"/>
  <c r="D25" i="3"/>
  <c r="D24" i="3"/>
  <c r="H28" i="3"/>
  <c r="H29" i="3"/>
  <c r="D28" i="3"/>
  <c r="D29" i="3"/>
  <c r="D17" i="2"/>
  <c r="E20" i="2"/>
  <c r="E16" i="2"/>
  <c r="E29" i="3"/>
  <c r="E26" i="3"/>
  <c r="E24" i="3"/>
  <c r="E27" i="3"/>
  <c r="E28" i="3"/>
  <c r="E25" i="3"/>
  <c r="C18" i="2"/>
  <c r="D18" i="2"/>
  <c r="D20" i="2"/>
  <c r="D16" i="2"/>
  <c r="C16" i="2"/>
  <c r="C20" i="2"/>
  <c r="D26" i="2" l="1"/>
  <c r="E28" i="2"/>
  <c r="C30" i="2"/>
  <c r="E26" i="2"/>
  <c r="E31" i="2"/>
  <c r="E29" i="2"/>
  <c r="E27" i="2"/>
  <c r="E32" i="2"/>
  <c r="E30" i="2"/>
  <c r="D31" i="2"/>
  <c r="D29" i="2"/>
  <c r="C28" i="2"/>
  <c r="C26" i="2"/>
  <c r="D27" i="2"/>
  <c r="D32" i="2"/>
  <c r="C31" i="2"/>
  <c r="C29" i="2"/>
  <c r="D30" i="2"/>
  <c r="D28" i="2"/>
  <c r="C27" i="2"/>
  <c r="C32" i="2"/>
</calcChain>
</file>

<file path=xl/sharedStrings.xml><?xml version="1.0" encoding="utf-8"?>
<sst xmlns="http://schemas.openxmlformats.org/spreadsheetml/2006/main" count="133" uniqueCount="69">
  <si>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</si>
  <si>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</si>
  <si>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</si>
  <si>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</si>
  <si>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</si>
  <si>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</si>
  <si>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</si>
  <si>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</si>
  <si>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</si>
  <si>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</si>
  <si>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</si>
  <si>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Selection Table</t>
  </si>
  <si>
    <t>[m³/h]</t>
  </si>
  <si>
    <t>[m/s]</t>
  </si>
  <si>
    <t>[m]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</si>
  <si>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</si>
  <si>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</si>
  <si>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</si>
  <si>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</si>
  <si>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critical distance</t>
  </si>
  <si>
    <t>[°C]</t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</si>
  <si>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</si>
  <si>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</si>
  <si>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</si>
  <si>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</si>
  <si>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</si>
  <si>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</si>
  <si>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</si>
  <si>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</si>
  <si>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</si>
  <si>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</si>
  <si>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</si>
  <si>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</si>
  <si>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</si>
  <si>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</si>
  <si>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</si>
  <si>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</si>
  <si>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</si>
  <si>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</si>
  <si>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</si>
  <si>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</si>
  <si>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</si>
  <si>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</si>
  <si>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</si>
  <si>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</si>
  <si>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</si>
  <si>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</si>
  <si>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</si>
  <si>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>throw, L</t>
    </r>
    <r>
      <rPr>
        <vertAlign val="subscript"/>
        <sz val="10"/>
        <color theme="1"/>
        <rFont val="Calibri"/>
        <family val="2"/>
        <scheme val="minor"/>
      </rPr>
      <t>T</t>
    </r>
  </si>
  <si>
    <r>
      <t>supply temperature, T</t>
    </r>
    <r>
      <rPr>
        <vertAlign val="subscript"/>
        <sz val="10"/>
        <color theme="1"/>
        <rFont val="Calibri"/>
        <family val="2"/>
        <scheme val="minor"/>
      </rPr>
      <t>s</t>
    </r>
  </si>
  <si>
    <r>
      <t>room temperature, T</t>
    </r>
    <r>
      <rPr>
        <vertAlign val="subscript"/>
        <sz val="10"/>
        <color theme="1"/>
        <rFont val="Calibri"/>
        <family val="2"/>
        <scheme val="minor"/>
      </rPr>
      <t>r</t>
    </r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</si>
  <si>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</si>
  <si>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</si>
  <si>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throw velocity, v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@ L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</si>
  <si>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</si>
  <si>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</si>
  <si>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r>
      <t>duct air velocity, V</t>
    </r>
    <r>
      <rPr>
        <vertAlign val="subscript"/>
        <sz val="10"/>
        <color theme="1"/>
        <rFont val="Calibri"/>
        <family val="2"/>
      </rPr>
      <t>duct</t>
    </r>
  </si>
  <si>
    <r>
      <t>effective air velocity, V</t>
    </r>
    <r>
      <rPr>
        <vertAlign val="subscript"/>
        <sz val="10"/>
        <color theme="1"/>
        <rFont val="Calibri"/>
        <family val="2"/>
      </rPr>
      <t>eff</t>
    </r>
  </si>
  <si>
    <t>dB(A)</t>
  </si>
  <si>
    <t>NR</t>
  </si>
  <si>
    <t>room attenuation</t>
  </si>
  <si>
    <t>acoustics unit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</si>
  <si>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</si>
  <si>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r>
      <t>air temperature @ L</t>
    </r>
    <r>
      <rPr>
        <vertAlign val="subscript"/>
        <sz val="10"/>
        <color theme="1"/>
        <rFont val="Calibri"/>
        <family val="2"/>
      </rPr>
      <t xml:space="preserve">T </t>
    </r>
  </si>
  <si>
    <t>proven ceiling effect up to at least -12°C between supply and room temperature</t>
  </si>
  <si>
    <t>Nominal size</t>
  </si>
  <si>
    <t>Plenum</t>
  </si>
  <si>
    <t>-</t>
  </si>
  <si>
    <t>WS230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</si>
</sst>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"/>
    <numFmt numFmtId="167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6" fillId="0" borderId="0" xfId="0" applyFont="1"/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8" fillId="2" borderId="6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9" fillId="2" borderId="1" xfId="0" applyFont="1" applyFill="1" applyBorder="1"/>
    <xf numFmtId="0" fontId="15" fillId="2" borderId="1" xfId="0" applyFont="1" applyFill="1" applyBorder="1"/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9" fillId="0" borderId="0" xfId="0" applyFont="1"/>
    <xf numFmtId="2" fontId="1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1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18" fillId="2" borderId="1" xfId="0" applyFont="1" applyFill="1" applyBorder="1"/>
    <xf numFmtId="0" fontId="1" fillId="2" borderId="5" xfId="0" quotePrefix="1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" fillId="2" borderId="1" xfId="0" quotePrefix="1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166" fontId="10" fillId="0" borderId="5" xfId="0" applyNumberFormat="1" applyFont="1" applyBorder="1" applyAlignment="1">
      <alignment horizontal="center"/>
    </xf>
    <xf numFmtId="166" fontId="10" fillId="0" borderId="3" xfId="0" applyNumberFormat="1" applyFont="1" applyBorder="1" applyAlignment="1">
      <alignment horizontal="center"/>
    </xf>
    <xf numFmtId="166" fontId="10" fillId="0" borderId="4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581522</xdr:colOff>
      <xdr:row>2</xdr:row>
      <xdr:rowOff>10024</xdr:rowOff>
    </xdr:from>
    <xdr:to>
      <xdr:col>8</xdr:col>
      <xdr:colOff>240685</xdr:colOff>
      <xdr:row>5</xdr:row>
      <xdr:rowOff>154402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4154" y="441156"/>
          <a:ext cx="3709794" cy="685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J33"/>
  <sheetViews>
    <sheetView showGridLines="0" tabSelected="1" zoomScaleNormal="100" workbookViewId="0">
      <selection activeCell="C2" sqref="C2"/>
    </sheetView>
  </sheetViews>
  <sheetFormatPr defaultRowHeight="15" x14ac:dyDescent="0.25"/>
  <cols>
    <col min="1" max="1" width="26.5703125" customWidth="1"/>
    <col min="2" max="11" width="15.140625" customWidth="1"/>
    <col min="12" max="12" width="11.7109375" customWidth="1"/>
  </cols>
  <sheetData>
    <row r="1" spans="1:10" ht="21" x14ac:dyDescent="0.35">
      <c r="A1" s="6" t="s">
        <v>11</v>
      </c>
    </row>
    <row r="2" spans="1:10" s="47" customFormat="1" ht="12.75" x14ac:dyDescent="0.2">
      <c r="A2" s="45" t="s">
        <v>21</v>
      </c>
      <c r="B2" s="46" t="s">
        <v>12</v>
      </c>
      <c r="C2" s="59">
        <v>200</v>
      </c>
    </row>
    <row r="3" spans="1:10" s="47" customFormat="1" ht="14.25" x14ac:dyDescent="0.25">
      <c r="A3" s="45" t="s">
        <v>48</v>
      </c>
      <c r="B3" s="46" t="s">
        <v>14</v>
      </c>
      <c r="C3" s="59">
        <v>2</v>
      </c>
    </row>
    <row r="4" spans="1:10" s="47" customFormat="1" ht="14.25" x14ac:dyDescent="0.25">
      <c r="A4" s="45" t="s">
        <v>49</v>
      </c>
      <c r="B4" s="46" t="s">
        <v>20</v>
      </c>
      <c r="C4" s="59">
        <v>26</v>
      </c>
    </row>
    <row r="5" spans="1:10" s="47" customFormat="1" ht="14.25" x14ac:dyDescent="0.25">
      <c r="A5" s="45" t="s">
        <v>50</v>
      </c>
      <c r="B5" s="46" t="s">
        <v>20</v>
      </c>
      <c r="C5" s="59">
        <v>26</v>
      </c>
    </row>
    <row r="6" spans="1:10" s="47" customFormat="1" ht="12.75" x14ac:dyDescent="0.2">
      <c r="A6" s="45" t="s">
        <v>60</v>
      </c>
      <c r="B6" s="46" t="str">
        <f>CONCATENATE("[",C7,"]")</f>
        <v>[dB(A)]</v>
      </c>
      <c r="C6" s="59">
        <v>8</v>
      </c>
    </row>
    <row r="7" spans="1:10" s="47" customFormat="1" ht="12.75" x14ac:dyDescent="0.2">
      <c r="A7" s="45" t="s">
        <v>61</v>
      </c>
      <c r="B7" s="46"/>
      <c r="C7" s="59" t="s">
        <v>58</v>
      </c>
    </row>
    <row r="8" spans="1:10" s="47" customFormat="1" ht="12.75" x14ac:dyDescent="0.2"/>
    <row r="9" spans="1:10" s="69" customFormat="1" ht="12.75" x14ac:dyDescent="0.2">
      <c r="B9" s="48" t="s">
        <v>24</v>
      </c>
      <c r="C9" s="70" t="str">
        <f>IF(ISBLANK(TechData!E1),"",TechData!E1)</f>
        <v>WS230</v>
      </c>
      <c r="D9" s="70" t="str">
        <f>IF(ISBLANK(TechData!F1),"",TechData!F1)</f>
        <v>WS230</v>
      </c>
      <c r="E9" s="71" t="str">
        <f>IF(ISBLANK(TechData!G1),"",TechData!G1)</f>
        <v>WS230</v>
      </c>
      <c r="F9" s="71" t="str">
        <f>IF(ISBLANK(TechData!H1),"",TechData!H1)</f>
        <v>WS230</v>
      </c>
      <c r="G9" s="71" t="str">
        <f>IF(ISBLANK(TechData!I1),"",TechData!I1)</f>
        <v>WS230</v>
      </c>
      <c r="H9" s="71" t="str">
        <f>IF(ISBLANK(TechData!J1),"",TechData!J1)</f>
        <v>WS230</v>
      </c>
      <c r="I9" s="71" t="str">
        <f>IF(ISBLANK(TechData!K1),"",TechData!K1)</f>
        <v>WS230</v>
      </c>
      <c r="J9" s="71" t="str">
        <f>IF(ISBLANK(TechData!L1),"",TechData!L1)</f>
        <v>WS230</v>
      </c>
    </row>
    <row r="10" spans="1:10" s="47" customFormat="1" ht="12.75" x14ac:dyDescent="0.2">
      <c r="B10" s="67" t="s">
        <v>65</v>
      </c>
      <c r="C10" s="29">
        <f>IF(ISBLANK(TechData!E2),"",TechData!E2)</f>
        <v>100</v>
      </c>
      <c r="D10" s="29">
        <f>IF(ISBLANK(TechData!F2),"",TechData!F2)</f>
        <v>125</v>
      </c>
      <c r="E10" s="30">
        <f>IF(ISBLANK(TechData!G2),"",TechData!G2)</f>
        <v>160</v>
      </c>
      <c r="F10" s="30">
        <f>IF(ISBLANK(TechData!H2),"",TechData!H2)</f>
        <v>200</v>
      </c>
      <c r="G10" s="30">
        <f>IF(ISBLANK(TechData!I2),"",TechData!I2)</f>
        <v>250</v>
      </c>
      <c r="H10" s="30">
        <f>IF(ISBLANK(TechData!J2),"",TechData!J2)</f>
        <v>315</v>
      </c>
      <c r="I10" s="30">
        <f>IF(ISBLANK(TechData!K2),"",TechData!K2)</f>
        <v>400</v>
      </c>
      <c r="J10" s="30">
        <f>IF(ISBLANK(TechData!L2),"",TechData!L2)</f>
        <v>500</v>
      </c>
    </row>
    <row r="11" spans="1:10" s="47" customFormat="1" ht="12.75" x14ac:dyDescent="0.2">
      <c r="B11" s="48" t="s">
        <v>66</v>
      </c>
      <c r="C11" s="29" t="str">
        <f>IF(ISBLANK(TechData!E3),"",TechData!E3)</f>
        <v>-</v>
      </c>
      <c r="D11" s="29" t="str">
        <f>IF(ISBLANK(TechData!F3),"",TechData!F3)</f>
        <v>-</v>
      </c>
      <c r="E11" s="30" t="str">
        <f>IF(ISBLANK(TechData!G3),"",TechData!G3)</f>
        <v>-</v>
      </c>
      <c r="F11" s="30" t="str">
        <f>IF(ISBLANK(TechData!H3),"",TechData!H3)</f>
        <v>-</v>
      </c>
      <c r="G11" s="30" t="str">
        <f>IF(ISBLANK(TechData!I3),"",TechData!I3)</f>
        <v>-</v>
      </c>
      <c r="H11" s="30" t="str">
        <f>IF(ISBLANK(TechData!J3),"",TechData!J3)</f>
        <v>-</v>
      </c>
      <c r="I11" s="30" t="str">
        <f>IF(ISBLANK(TechData!K3),"",TechData!K3)</f>
        <v>-</v>
      </c>
      <c r="J11" s="30" t="str">
        <f>IF(ISBLANK(TechData!L3),"",TechData!L3)</f>
        <v>-</v>
      </c>
    </row>
    <row r="12" spans="1:10" s="47" customFormat="1" ht="12.75" hidden="1" x14ac:dyDescent="0.2">
      <c r="B12" s="48"/>
      <c r="C12" s="29" t="str">
        <f>IF(ISBLANK(TechData!E4),"",TechData!E4)</f>
        <v/>
      </c>
      <c r="D12" s="29" t="str">
        <f>IF(ISBLANK(TechData!F4),"",TechData!F4)</f>
        <v/>
      </c>
      <c r="E12" s="30" t="str">
        <f>IF(ISBLANK(TechData!G4),"",TechData!G4)</f>
        <v/>
      </c>
      <c r="F12" s="30" t="str">
        <f>IF(ISBLANK(TechData!H4),"",TechData!H4)</f>
        <v/>
      </c>
      <c r="G12" s="30" t="str">
        <f>IF(ISBLANK(TechData!I4),"",TechData!I4)</f>
        <v/>
      </c>
      <c r="H12" s="30" t="str">
        <f>IF(ISBLANK(TechData!J4),"",TechData!J4)</f>
        <v/>
      </c>
      <c r="I12" s="30" t="str">
        <f>IF(ISBLANK(TechData!K4),"",TechData!K4)</f>
        <v/>
      </c>
      <c r="J12" s="30" t="str">
        <f>IF(ISBLANK(TechData!L4),"",TechData!L4)</f>
        <v/>
      </c>
    </row>
    <row r="13" spans="1:10" s="47" customFormat="1" ht="12.75" x14ac:dyDescent="0.2">
      <c r="B13" s="48"/>
      <c r="C13" s="29" t="str">
        <f>IF(ISBLANK(TechData!E5),"",TechData!E5)</f>
        <v/>
      </c>
      <c r="D13" s="29" t="str">
        <f>IF(ISBLANK(TechData!F5),"",TechData!F5)</f>
        <v/>
      </c>
      <c r="E13" s="30" t="str">
        <f>IF(ISBLANK(TechData!G5),"",TechData!G5)</f>
        <v/>
      </c>
      <c r="F13" s="30" t="str">
        <f>IF(ISBLANK(TechData!H5),"",TechData!H5)</f>
        <v/>
      </c>
      <c r="G13" s="30" t="str">
        <f>IF(ISBLANK(TechData!I5),"",TechData!I5)</f>
        <v/>
      </c>
      <c r="H13" s="30" t="str">
        <f>IF(ISBLANK(TechData!J5),"",TechData!J5)</f>
        <v/>
      </c>
      <c r="I13" s="30" t="str">
        <f>IF(ISBLANK(TechData!K5),"",TechData!K5)</f>
        <v/>
      </c>
      <c r="J13" s="30" t="str">
        <f>IF(ISBLANK(TechData!L5),"",TechData!L5)</f>
        <v/>
      </c>
    </row>
    <row r="14" spans="1:10" s="47" customFormat="1" ht="14.25" x14ac:dyDescent="0.25">
      <c r="A14" s="49" t="s">
        <v>56</v>
      </c>
      <c r="B14" s="46" t="s">
        <v>13</v>
      </c>
      <c r="C14" s="51">
        <f>$C$2/3600/TechData!E13</f>
        <v>7.365215562584817</v>
      </c>
      <c r="D14" s="51">
        <f>$C$2/3600/TechData!F13</f>
        <v>4.6754927796327976</v>
      </c>
      <c r="E14" s="51">
        <f>$C$2/3600/TechData!G13</f>
        <v>2.8335014526143483</v>
      </c>
      <c r="F14" s="51">
        <f>$C$2/3600/TechData!H13</f>
        <v>1.804293701231114</v>
      </c>
      <c r="G14" s="51">
        <f>$C$2/3600/TechData!I13</f>
        <v>1.1500964207704312</v>
      </c>
      <c r="H14" s="51">
        <f>$C$2/3600/TechData!J13</f>
        <v>0.72201951906281159</v>
      </c>
      <c r="I14" s="51">
        <f>$C$2/3600/TechData!K13</f>
        <v>0.44655141450382935</v>
      </c>
      <c r="J14" s="51">
        <f>$C$2/3600/TechData!L13</f>
        <v>0.2852193120395824</v>
      </c>
    </row>
    <row r="15" spans="1:10" s="47" customFormat="1" ht="14.25" x14ac:dyDescent="0.25">
      <c r="A15" s="49" t="s">
        <v>57</v>
      </c>
      <c r="B15" s="46" t="s">
        <v>13</v>
      </c>
      <c r="C15" s="51">
        <f>$C$2/3600/TechData!E7</f>
        <v>19.422722710019617</v>
      </c>
      <c r="D15" s="51">
        <f>$C$2/3600/TechData!F7</f>
        <v>12.053801172383576</v>
      </c>
      <c r="E15" s="51">
        <f>$C$2/3600/TechData!G7</f>
        <v>7.1107830599095116</v>
      </c>
      <c r="F15" s="51">
        <f>$C$2/3600/TechData!H7</f>
        <v>4.4129737351337575</v>
      </c>
      <c r="G15" s="51">
        <f>$C$2/3600/TechData!I7</f>
        <v>2.7387050094069676</v>
      </c>
      <c r="H15" s="51">
        <f>$C$2/3600/TechData!J7</f>
        <v>1.6709398656020702</v>
      </c>
      <c r="I15" s="51">
        <f>$C$2/3600/TechData!K7</f>
        <v>1.002657427474577</v>
      </c>
      <c r="J15" s="51">
        <f>$C$2/3600/TechData!L7</f>
        <v>0.62225226891374119</v>
      </c>
    </row>
    <row r="16" spans="1:10" s="47" customFormat="1" ht="14.25" x14ac:dyDescent="0.25">
      <c r="A16" s="49" t="s">
        <v>51</v>
      </c>
      <c r="B16" s="46" t="s">
        <v>15</v>
      </c>
      <c r="C16" s="50">
        <f>IF(C9="","",IF(ISBLANK(TechData!E11),"-",IF((SelectionData!$C$2/TechData!E11)^(1/TechData!E12)&lt;1,"&lt;1",(SelectionData!$C$2/TechData!E11)^(1/TechData!E12))))</f>
        <v>321.22947090644669</v>
      </c>
      <c r="D16" s="50">
        <f>IF(D9="","",IF(ISBLANK(TechData!F11),"-",IF((SelectionData!$C$2/TechData!F11)^(1/TechData!F12)&lt;1,"&lt;1",(SelectionData!$C$2/TechData!F11)^(1/TechData!F12))))</f>
        <v>144.94635859821736</v>
      </c>
      <c r="E16" s="50">
        <f>IF(E9="","",IF(ISBLANK(TechData!G11),"-",IF((SelectionData!$C$2/TechData!G11)^(1/TechData!G12)&lt;1,"&lt;1",(SelectionData!$C$2/TechData!G11)^(1/TechData!G12))))</f>
        <v>53.376605026212374</v>
      </c>
      <c r="F16" s="50">
        <f>IF(F9="","",IF(ISBLANK(TechData!H11),"-",IF((SelectionData!$C$2/TechData!H11)^(1/TechData!H12)&lt;1,"&lt;1",(SelectionData!$C$2/TechData!H11)^(1/TechData!H12))))</f>
        <v>19.494258699369141</v>
      </c>
      <c r="G16" s="50">
        <f>IF(G9="","",IF(ISBLANK(TechData!I11),"-",IF((SelectionData!$C$2/TechData!I11)^(1/TechData!I12)&lt;1,"&lt;1",(SelectionData!$C$2/TechData!I11)^(1/TechData!I12))))</f>
        <v>10.288108671250022</v>
      </c>
      <c r="H16" s="50">
        <f>IF(H9="","",IF(ISBLANK(TechData!J11),"-",IF((SelectionData!$C$2/TechData!J11)^(1/TechData!J12)&lt;1,"&lt;1",(SelectionData!$C$2/TechData!J11)^(1/TechData!J12))))</f>
        <v>2.2638569226798513</v>
      </c>
      <c r="I16" s="50">
        <f>IF(I9="","",IF(ISBLANK(TechData!K11),"-",IF((SelectionData!$C$2/TechData!K11)^(1/TechData!K12)&lt;1,"&lt;1",(SelectionData!$C$2/TechData!K11)^(1/TechData!K12))))</f>
        <v>1.1929152298900985</v>
      </c>
      <c r="J16" s="50" t="str">
        <f>IF(J9="","",IF(ISBLANK(TechData!L11),"-",IF((SelectionData!$C$2/TechData!L11)^(1/TechData!L12)&lt;1,"&lt;1",(SelectionData!$C$2/TechData!L11)^(1/TechData!L12))))</f>
        <v>&lt;1</v>
      </c>
    </row>
    <row r="17" spans="1:10" s="47" customFormat="1" ht="14.25" x14ac:dyDescent="0.25">
      <c r="A17" s="49" t="s">
        <v>52</v>
      </c>
      <c r="B17" s="46" t="s">
        <v>15</v>
      </c>
      <c r="C17" s="50">
        <f>IF(C9="","",IF(ISBLANK(TechData!E11),"-",IF((SelectionData!$C$2/TechData!E11)^(1/TechData!E12)+0.5*1.2*($C$2/3600/TechData!E13)^2&lt;1,"&lt;1",(SelectionData!$C$2/TechData!E11)^(1/TechData!E12)+0.5*1.2*($C$2/3600/TechData!E13)^2)))</f>
        <v>353.77731107645167</v>
      </c>
      <c r="D17" s="50">
        <f>IF(D9="","",IF(ISBLANK(TechData!F11),"-",IF((SelectionData!$C$2/TechData!F11)^(1/TechData!F12)+0.5*1.2*($C$2/3600/TechData!F13)^2&lt;1,"&lt;1",(SelectionData!$C$2/TechData!F11)^(1/TechData!F12)+0.5*1.2*($C$2/3600/TechData!F13)^2)))</f>
        <v>158.0624982376564</v>
      </c>
      <c r="E17" s="50">
        <f>IF(E9="","",IF(ISBLANK(TechData!G11),"-",IF((SelectionData!$C$2/TechData!G11)^(1/TechData!G12)+0.5*1.2*($C$2/3600/TechData!G13)^2&lt;1,"&lt;1",(SelectionData!$C$2/TechData!G11)^(1/TechData!G12)+0.5*1.2*($C$2/3600/TechData!G13)^2)))</f>
        <v>58.193843315392947</v>
      </c>
      <c r="F17" s="50">
        <f>IF(F9="","",IF(ISBLANK(TechData!H11),"-",IF((SelectionData!$C$2/TechData!H11)^(1/TechData!H12)+0.5*1.2*($C$2/3600/TechData!H13)^2&lt;1,"&lt;1",(SelectionData!$C$2/TechData!H11)^(1/TechData!H12)+0.5*1.2*($C$2/3600/TechData!H13)^2)))</f>
        <v>21.447544155550503</v>
      </c>
      <c r="G17" s="50">
        <f>IF(G9="","",IF(ISBLANK(TechData!I11),"-",IF((SelectionData!$C$2/TechData!I11)^(1/TechData!I12)+0.5*1.2*($C$2/3600/TechData!I13)^2&lt;1,"&lt;1",(SelectionData!$C$2/TechData!I11)^(1/TechData!I12)+0.5*1.2*($C$2/3600/TechData!I13)^2)))</f>
        <v>11.081741737491397</v>
      </c>
      <c r="H17" s="50">
        <f>IF(H9="","",IF(ISBLANK(TechData!J11),"-",IF((SelectionData!$C$2/TechData!J11)^(1/TechData!J12)+0.5*1.2*($C$2/3600/TechData!J13)^2&lt;1,"&lt;1",(SelectionData!$C$2/TechData!J11)^(1/TechData!J12)+0.5*1.2*($C$2/3600/TechData!J13)^2)))</f>
        <v>2.5766442342244673</v>
      </c>
      <c r="I17" s="50">
        <f>IF(I9="","",IF(ISBLANK(TechData!K11),"-",IF((SelectionData!$C$2/TechData!K11)^(1/TechData!K12)+0.5*1.2*($C$2/3600/TechData!K13)^2&lt;1,"&lt;1",(SelectionData!$C$2/TechData!K11)^(1/TechData!K12)+0.5*1.2*($C$2/3600/TechData!K13)^2)))</f>
        <v>1.312560129367321</v>
      </c>
      <c r="J17" s="50" t="str">
        <f>IF(J9="","",IF(ISBLANK(TechData!L11),"-",IF((SelectionData!$C$2/TechData!L11)^(1/TechData!L12)+0.5*1.2*($C$2/3600/TechData!L13)^2&lt;1,"&lt;1",(SelectionData!$C$2/TechData!L11)^(1/TechData!L12)+0.5*1.2*($C$2/3600/TechData!L13)^2)))</f>
        <v>&lt;1</v>
      </c>
    </row>
    <row r="18" spans="1:10" s="47" customFormat="1" ht="14.25" x14ac:dyDescent="0.25">
      <c r="A18" s="49" t="s">
        <v>53</v>
      </c>
      <c r="B18" s="46" t="s">
        <v>13</v>
      </c>
      <c r="C18" s="53">
        <f>IF(C9="","",IF(ISBLANK(TechData!E8),"-",IF(($C$2/3600/TechData!E7)*TechData!E8*SQRT(TechData!E7)/(SelectionData!$C$3-TechData!E9)&gt;0.75,"&gt;0.75",($C$2/3600/TechData!E7)*TechData!E8*SQRT(TechData!E7)/(SelectionData!$C$3-TechData!E9))))</f>
        <v>0.71124516233233104</v>
      </c>
      <c r="D18" s="53">
        <f>IF(D9="","",IF(ISBLANK(TechData!F8),"-",IF(($C$2/3600/TechData!F7)*TechData!F8*SQRT(TechData!F7)/(SelectionData!$C$3-TechData!F9)&gt;0.75,"&gt;0.75",($C$2/3600/TechData!F7)*TechData!F8*SQRT(TechData!F7)/(SelectionData!$C$3-TechData!F9))))</f>
        <v>0.55725313173765145</v>
      </c>
      <c r="E18" s="53">
        <f>IF(E9="","",IF(ISBLANK(TechData!G8),"-",IF(($C$2/3600/TechData!G7)*TechData!G8*SQRT(TechData!G7)/(SelectionData!$C$3-TechData!G9)&gt;0.75,"&gt;0.75",($C$2/3600/TechData!G7)*TechData!G8*SQRT(TechData!G7)/(SelectionData!$C$3-TechData!G9))))</f>
        <v>0.42471113044183612</v>
      </c>
      <c r="F18" s="53">
        <f>IF(F9="","",IF(ISBLANK(TechData!H8),"-",IF(($C$2/3600/TechData!H7)*TechData!H8*SQRT(TechData!H7)/(SelectionData!$C$3-TechData!H9)&gt;0.75,"&gt;0.75",($C$2/3600/TechData!H7)*TechData!H8*SQRT(TechData!H7)/(SelectionData!$C$3-TechData!H9))))</f>
        <v>0.33161603578488708</v>
      </c>
      <c r="G18" s="53">
        <f>IF(G9="","",IF(ISBLANK(TechData!I8),"-",IF(($C$2/3600/TechData!I7)*TechData!I8*SQRT(TechData!I7)/(SelectionData!$C$3-TechData!I9)&gt;0.75,"&gt;0.75",($C$2/3600/TechData!I7)*TechData!I8*SQRT(TechData!I7)/(SelectionData!$C$3-TechData!I9))))</f>
        <v>0.25833618697612198</v>
      </c>
      <c r="H18" s="53">
        <f>IF(H9="","",IF(ISBLANK(TechData!J8),"-",IF(($C$2/3600/TechData!J7)*TechData!J8*SQRT(TechData!J7)/(SelectionData!$C$3-TechData!J9)&gt;0.75,"&gt;0.75",($C$2/3600/TechData!J7)*TechData!J8*SQRT(TechData!J7)/(SelectionData!$C$3-TechData!J9))))</f>
        <v>0.1988661772483642</v>
      </c>
      <c r="I18" s="53">
        <f>IF(I9="","",IF(ISBLANK(TechData!K8),"-",IF(($C$2/3600/TechData!K7)*TechData!K8*SQRT(TechData!K7)/(SelectionData!$C$3-TechData!K9)&gt;0.75,"&gt;0.75",($C$2/3600/TechData!K7)*TechData!K8*SQRT(TechData!K7)/(SelectionData!$C$3-TechData!K9))))</f>
        <v>0.15114065404649474</v>
      </c>
      <c r="J18" s="53">
        <f>IF(J9="","",IF(ISBLANK(TechData!L8),"-",IF(($C$2/3600/TechData!L7)*TechData!L8*SQRT(TechData!L7)/(SelectionData!$C$3-TechData!L9)&gt;0.75,"&gt;0.75",($C$2/3600/TechData!L7)*TechData!L8*SQRT(TechData!L7)/(SelectionData!$C$3-TechData!L9))))</f>
        <v>0.11643913959848315</v>
      </c>
    </row>
    <row r="19" spans="1:10" s="47" customFormat="1" ht="12.75" x14ac:dyDescent="0.2">
      <c r="A19" s="49" t="s">
        <v>19</v>
      </c>
      <c r="B19" s="46" t="s">
        <v>14</v>
      </c>
      <c r="C19" s="76" t="s">
        <v>64</v>
      </c>
      <c r="D19" s="77"/>
      <c r="E19" s="77"/>
      <c r="F19" s="77"/>
      <c r="G19" s="77"/>
      <c r="H19" s="77"/>
      <c r="I19" s="77"/>
      <c r="J19" s="78"/>
    </row>
    <row r="20" spans="1:10" s="47" customFormat="1" ht="14.25" hidden="1" x14ac:dyDescent="0.25">
      <c r="A20" s="49" t="s">
        <v>63</v>
      </c>
      <c r="B20" s="46" t="s">
        <v>20</v>
      </c>
      <c r="C20" s="51" t="str">
        <f>IF(C9="","",IF(OR(ISBLANK(TechData!E27),$C$5&lt;$C$4),"-",(TechData!E27*SQRT(TechData!E26)/(SelectionData!$C$3-TechData!E28)*(SelectionData!$C$4-SelectionData!$C$5)+(SelectionData!$C$5+273.15))-273.15))</f>
        <v>-</v>
      </c>
      <c r="D20" s="51" t="str">
        <f>IF(D9="","",IF(OR(ISBLANK(TechData!F27),$C$5&lt;$C$4),"-",(TechData!F27*SQRT(TechData!F26)/(SelectionData!$C$3-TechData!F28)*(SelectionData!$C$4-SelectionData!$C$5)+(SelectionData!$C$5+273.15))-273.15))</f>
        <v>-</v>
      </c>
      <c r="E20" s="51" t="str">
        <f>IF(E9="","",IF(OR(ISBLANK(TechData!G27),$C$5&lt;$C$4),"-",(TechData!G27*SQRT(TechData!G26)/(SelectionData!$C$3-TechData!G28)*(SelectionData!$C$4-SelectionData!$C$5)+(SelectionData!$C$5+273.15))-273.15))</f>
        <v>-</v>
      </c>
      <c r="F20" s="51" t="str">
        <f>IF(F9="","",IF(OR(ISBLANK(TechData!H27),$C$5&lt;$C$4),"-",(TechData!H27*SQRT(TechData!H26)/(SelectionData!$C$3-TechData!H28)*(SelectionData!$C$4-SelectionData!$C$5)+(SelectionData!$C$5+273.15))-273.15))</f>
        <v>-</v>
      </c>
      <c r="G20" s="51" t="str">
        <f>IF(G9="","",IF(OR(ISBLANK(TechData!I27),$C$5&lt;$C$4),"-",(TechData!I27*SQRT(TechData!I26)/(SelectionData!$C$3-TechData!I28)*(SelectionData!$C$4-SelectionData!$C$5)+(SelectionData!$C$5+273.15))-273.15))</f>
        <v>-</v>
      </c>
      <c r="H20" s="51" t="str">
        <f>IF(H9="","",IF(OR(ISBLANK(TechData!J27),$C$5&lt;$C$4),"-",(TechData!J27*SQRT(TechData!J26)/(SelectionData!$C$3-TechData!J28)*(SelectionData!$C$4-SelectionData!$C$5)+(SelectionData!$C$5+273.15))-273.15))</f>
        <v>-</v>
      </c>
      <c r="I20" s="51" t="str">
        <f>IF(I9="","",IF(OR(ISBLANK(TechData!K27),$C$5&lt;$C$4),"-",(TechData!K27*SQRT(TechData!K26)/(SelectionData!$C$3-TechData!K28)*(SelectionData!$C$4-SelectionData!$C$5)+(SelectionData!$C$5+273.15))-273.15))</f>
        <v>-</v>
      </c>
      <c r="J20" s="51" t="str">
        <f>IF(J9="","",IF(OR(ISBLANK(TechData!L27),$C$5&lt;$C$4),"-",(TechData!L27*SQRT(TechData!L26)/(SelectionData!$C$3-TechData!L28)*(SelectionData!$C$4-SelectionData!$C$5)+(SelectionData!$C$5+273.15))-273.15))</f>
        <v>-</v>
      </c>
    </row>
    <row r="21" spans="1:10" s="47" customFormat="1" ht="14.25" x14ac:dyDescent="0.25">
      <c r="A21" s="49" t="s">
        <v>54</v>
      </c>
      <c r="B21" s="46" t="str">
        <f>B6</f>
        <v>[dB(A)]</v>
      </c>
      <c r="C21" s="50" t="str">
        <f>IF($C$7="NR",IF(C9="","",IF(ISBLANK(TechData!E30),"-",IF(TechData!E30*LN(SelectionData!$C$2)+TechData!E31&lt;15,"&lt;15",IF(TechData!E30*LN(SelectionData!$C$2)+TechData!E31&gt;50,"&gt;50",TechData!E30*LN(SelectionData!$C$2)+TechData!E31)))),IF(C9="","",IF(ISBLANK(TechData!E33),"-",IF(TechData!E33*LN(SelectionData!$C$2)+TechData!E34&lt;20,"&lt;20",IF(TechData!E33*LN(SelectionData!$C$2)+TechData!E34&gt;55,"&gt;55",TechData!E33*LN(SelectionData!$C$2)+TechData!E34)))))</f>
        <v>&gt;55</v>
      </c>
      <c r="D21" s="50">
        <f>IF($C$7="NR",IF(D9="","",IF(ISBLANK(TechData!F30),"-",IF(TechData!F30*LN(SelectionData!$C$2)+TechData!F31&lt;15,"&lt;15",IF(TechData!F30*LN(SelectionData!$C$2)+TechData!F31&gt;50,"&gt;50",TechData!F30*LN(SelectionData!$C$2)+TechData!F31)))),IF(D9="","",IF(ISBLANK(TechData!F33),"-",IF(TechData!F33*LN(SelectionData!$C$2)+TechData!F34&lt;20,"&lt;20",IF(TechData!F33*LN(SelectionData!$C$2)+TechData!F34&gt;55,"&gt;55",TechData!F33*LN(SelectionData!$C$2)+TechData!F34)))))</f>
        <v>53.92338788638645</v>
      </c>
      <c r="E21" s="50">
        <f>IF($C$7="NR",IF(E9="","",IF(ISBLANK(TechData!G30),"-",IF(TechData!G30*LN(SelectionData!$C$2)+TechData!G31&lt;15,"&lt;15",IF(TechData!G30*LN(SelectionData!$C$2)+TechData!G31&gt;50,"&gt;50",TechData!G30*LN(SelectionData!$C$2)+TechData!G31)))),IF(E9="","",IF(ISBLANK(TechData!G33),"-",IF(TechData!G33*LN(SelectionData!$C$2)+TechData!G34&lt;20,"&lt;20",IF(TechData!G33*LN(SelectionData!$C$2)+TechData!G34&gt;55,"&gt;55",TechData!G33*LN(SelectionData!$C$2)+TechData!G34)))))</f>
        <v>44.354381935167297</v>
      </c>
      <c r="F21" s="50">
        <f>IF($C$7="NR",IF(F9="","",IF(ISBLANK(TechData!H30),"-",IF(TechData!H30*LN(SelectionData!$C$2)+TechData!H31&lt;15,"&lt;15",IF(TechData!H30*LN(SelectionData!$C$2)+TechData!H31&gt;50,"&gt;50",TechData!H30*LN(SelectionData!$C$2)+TechData!H31)))),IF(F9="","",IF(ISBLANK(TechData!H33),"-",IF(TechData!H33*LN(SelectionData!$C$2)+TechData!H34&lt;20,"&lt;20",IF(TechData!H33*LN(SelectionData!$C$2)+TechData!H34&gt;55,"&gt;55",TechData!H33*LN(SelectionData!$C$2)+TechData!H34)))))</f>
        <v>34.566129529383886</v>
      </c>
      <c r="G21" s="50">
        <f>IF($C$7="NR",IF(G9="","",IF(ISBLANK(TechData!I30),"-",IF(TechData!I30*LN(SelectionData!$C$2)+TechData!I31&lt;15,"&lt;15",IF(TechData!I30*LN(SelectionData!$C$2)+TechData!I31&gt;50,"&gt;50",TechData!I30*LN(SelectionData!$C$2)+TechData!I31)))),IF(G9="","",IF(ISBLANK(TechData!I33),"-",IF(TechData!I33*LN(SelectionData!$C$2)+TechData!I34&lt;20,"&lt;20",IF(TechData!I33*LN(SelectionData!$C$2)+TechData!I34&gt;55,"&gt;55",TechData!I33*LN(SelectionData!$C$2)+TechData!I34)))))</f>
        <v>22.621303619694686</v>
      </c>
      <c r="H21" s="50" t="str">
        <f>IF($C$7="NR",IF(H9="","",IF(ISBLANK(TechData!J30),"-",IF(TechData!J30*LN(SelectionData!$C$2)+TechData!J31&lt;15,"&lt;15",IF(TechData!J30*LN(SelectionData!$C$2)+TechData!J31&gt;50,"&gt;50",TechData!J30*LN(SelectionData!$C$2)+TechData!J31)))),IF(H9="","",IF(ISBLANK(TechData!J33),"-",IF(TechData!J33*LN(SelectionData!$C$2)+TechData!J34&lt;20,"&lt;20",IF(TechData!J33*LN(SelectionData!$C$2)+TechData!J34&gt;55,"&gt;55",TechData!J33*LN(SelectionData!$C$2)+TechData!J34)))))</f>
        <v>&lt;20</v>
      </c>
      <c r="I21" s="50" t="str">
        <f>IF($C$7="NR",IF(I9="","",IF(ISBLANK(TechData!K30),"-",IF(TechData!K30*LN(SelectionData!$C$2)+TechData!K31&lt;15,"&lt;15",IF(TechData!K30*LN(SelectionData!$C$2)+TechData!K31&gt;50,"&gt;50",TechData!K30*LN(SelectionData!$C$2)+TechData!K31)))),IF(I9="","",IF(ISBLANK(TechData!K33),"-",IF(TechData!K33*LN(SelectionData!$C$2)+TechData!K34&lt;20,"&lt;20",IF(TechData!K33*LN(SelectionData!$C$2)+TechData!K34&gt;55,"&gt;55",TechData!K33*LN(SelectionData!$C$2)+TechData!K34)))))</f>
        <v>&lt;20</v>
      </c>
      <c r="J21" s="50" t="str">
        <f>IF($C$7="NR",IF(J9="","",IF(ISBLANK(TechData!L30),"-",IF(TechData!L30*LN(SelectionData!$C$2)+TechData!L31&lt;15,"&lt;15",IF(TechData!L30*LN(SelectionData!$C$2)+TechData!L31&gt;50,"&gt;50",TechData!L30*LN(SelectionData!$C$2)+TechData!L31)))),IF(J9="","",IF(ISBLANK(TechData!L33),"-",IF(TechData!L33*LN(SelectionData!$C$2)+TechData!L34&lt;20,"&lt;20",IF(TechData!L33*LN(SelectionData!$C$2)+TechData!L34&gt;55,"&gt;55",TechData!L33*LN(SelectionData!$C$2)+TechData!L34)))))</f>
        <v>&lt;20</v>
      </c>
    </row>
    <row r="22" spans="1:10" s="47" customFormat="1" ht="14.25" x14ac:dyDescent="0.25">
      <c r="A22" s="49" t="s">
        <v>62</v>
      </c>
      <c r="B22" s="46" t="str">
        <f>B6</f>
        <v>[dB(A)]</v>
      </c>
      <c r="C22" s="50" t="str">
        <f>IF($C$7="NR",IF(C9="","",IF(ISBLANK(TechData!E30),"-",IF(TechData!E30*LN(SelectionData!$C$2)+TechData!E31-$C$6&lt;15,"&lt;15",IF(TechData!E30*LN(SelectionData!$C$2)+TechData!E31-$C$6&gt;50,"&gt;50",TechData!E30*LN(SelectionData!$C$2)+TechData!E31-$C$6)))),IF(C9="","",IF(ISBLANK(TechData!E33),"-",IF(TechData!E33*LN(SelectionData!$C$2)+TechData!E34-$C$6&lt;20,"&lt;20",IF(TechData!E33*LN(SelectionData!$C$2)+TechData!E34-$C$6&gt;55,"&gt;55",TechData!E33*LN(SelectionData!$C$2)+TechData!E34-$C$6)))))</f>
        <v>&gt;55</v>
      </c>
      <c r="D22" s="50">
        <f>IF($C$7="NR",IF(D9="","",IF(ISBLANK(TechData!F30),"-",IF(TechData!F30*LN(SelectionData!$C$2)+TechData!F31-$C$6&lt;15,"&lt;15",IF(TechData!F30*LN(SelectionData!$C$2)+TechData!F31-$C$6&gt;50,"&gt;50",TechData!F30*LN(SelectionData!$C$2)+TechData!F31-$C$6)))),IF(D9="","",IF(ISBLANK(TechData!F33),"-",IF(TechData!F33*LN(SelectionData!$C$2)+TechData!F34-$C$6&lt;20,"&lt;20",IF(TechData!F33*LN(SelectionData!$C$2)+TechData!F34-$C$6&gt;55,"&gt;55",TechData!F33*LN(SelectionData!$C$2)+TechData!F34-$C$6)))))</f>
        <v>45.92338788638645</v>
      </c>
      <c r="E22" s="50">
        <f>IF($C$7="NR",IF(E9="","",IF(ISBLANK(TechData!G30),"-",IF(TechData!G30*LN(SelectionData!$C$2)+TechData!G31-$C$6&lt;15,"&lt;15",IF(TechData!G30*LN(SelectionData!$C$2)+TechData!G31-$C$6&gt;50,"&gt;50",TechData!G30*LN(SelectionData!$C$2)+TechData!G31-$C$6)))),IF(E9="","",IF(ISBLANK(TechData!G33),"-",IF(TechData!G33*LN(SelectionData!$C$2)+TechData!G34-$C$6&lt;20,"&lt;20",IF(TechData!G33*LN(SelectionData!$C$2)+TechData!G34-$C$6&gt;55,"&gt;55",TechData!G33*LN(SelectionData!$C$2)+TechData!G34-$C$6)))))</f>
        <v>36.354381935167297</v>
      </c>
      <c r="F22" s="50">
        <f>IF($C$7="NR",IF(F9="","",IF(ISBLANK(TechData!H30),"-",IF(TechData!H30*LN(SelectionData!$C$2)+TechData!H31-$C$6&lt;15,"&lt;15",IF(TechData!H30*LN(SelectionData!$C$2)+TechData!H31-$C$6&gt;50,"&gt;50",TechData!H30*LN(SelectionData!$C$2)+TechData!H31-$C$6)))),IF(F9="","",IF(ISBLANK(TechData!H33),"-",IF(TechData!H33*LN(SelectionData!$C$2)+TechData!H34-$C$6&lt;20,"&lt;20",IF(TechData!H33*LN(SelectionData!$C$2)+TechData!H34-$C$6&gt;55,"&gt;55",TechData!H33*LN(SelectionData!$C$2)+TechData!H34-$C$6)))))</f>
        <v>26.566129529383886</v>
      </c>
      <c r="G22" s="50" t="str">
        <f>IF($C$7="NR",IF(G9="","",IF(ISBLANK(TechData!I30),"-",IF(TechData!I30*LN(SelectionData!$C$2)+TechData!I31-$C$6&lt;15,"&lt;15",IF(TechData!I30*LN(SelectionData!$C$2)+TechData!I31-$C$6&gt;50,"&gt;50",TechData!I30*LN(SelectionData!$C$2)+TechData!I31-$C$6)))),IF(G9="","",IF(ISBLANK(TechData!I33),"-",IF(TechData!I33*LN(SelectionData!$C$2)+TechData!I34-$C$6&lt;20,"&lt;20",IF(TechData!I33*LN(SelectionData!$C$2)+TechData!I34-$C$6&gt;55,"&gt;55",TechData!I33*LN(SelectionData!$C$2)+TechData!I34-$C$6)))))</f>
        <v>&lt;20</v>
      </c>
      <c r="H22" s="50" t="str">
        <f>IF($C$7="NR",IF(H9="","",IF(ISBLANK(TechData!J30),"-",IF(TechData!J30*LN(SelectionData!$C$2)+TechData!J31-$C$6&lt;15,"&lt;15",IF(TechData!J30*LN(SelectionData!$C$2)+TechData!J31-$C$6&gt;50,"&gt;50",TechData!J30*LN(SelectionData!$C$2)+TechData!J31-$C$6)))),IF(H9="","",IF(ISBLANK(TechData!J33),"-",IF(TechData!J33*LN(SelectionData!$C$2)+TechData!J34-$C$6&lt;20,"&lt;20",IF(TechData!J33*LN(SelectionData!$C$2)+TechData!J34-$C$6&gt;55,"&gt;55",TechData!J33*LN(SelectionData!$C$2)+TechData!J34-$C$6)))))</f>
        <v>&lt;20</v>
      </c>
      <c r="I22" s="50" t="str">
        <f>IF($C$7="NR",IF(I9="","",IF(ISBLANK(TechData!K30),"-",IF(TechData!K30*LN(SelectionData!$C$2)+TechData!K31-$C$6&lt;15,"&lt;15",IF(TechData!K30*LN(SelectionData!$C$2)+TechData!K31-$C$6&gt;50,"&gt;50",TechData!K30*LN(SelectionData!$C$2)+TechData!K31-$C$6)))),IF(I9="","",IF(ISBLANK(TechData!K33),"-",IF(TechData!K33*LN(SelectionData!$C$2)+TechData!K34-$C$6&lt;20,"&lt;20",IF(TechData!K33*LN(SelectionData!$C$2)+TechData!K34-$C$6&gt;55,"&gt;55",TechData!K33*LN(SelectionData!$C$2)+TechData!K34-$C$6)))))</f>
        <v>&lt;20</v>
      </c>
      <c r="J22" s="50" t="str">
        <f>IF($C$7="NR",IF(J9="","",IF(ISBLANK(TechData!L30),"-",IF(TechData!L30*LN(SelectionData!$C$2)+TechData!L31-$C$6&lt;15,"&lt;15",IF(TechData!L30*LN(SelectionData!$C$2)+TechData!L31-$C$6&gt;50,"&gt;50",TechData!L30*LN(SelectionData!$C$2)+TechData!L31-$C$6)))),IF(J9="","",IF(ISBLANK(TechData!L33),"-",IF(TechData!L33*LN(SelectionData!$C$2)+TechData!L34-$C$6&lt;20,"&lt;20",IF(TechData!L33*LN(SelectionData!$C$2)+TechData!L34-$C$6&gt;55,"&gt;55",TechData!L33*LN(SelectionData!$C$2)+TechData!L34-$C$6)))))</f>
        <v>&lt;20</v>
      </c>
    </row>
    <row r="23" spans="1:10" s="47" customFormat="1" ht="12.75" x14ac:dyDescent="0.2">
      <c r="B23" s="31"/>
    </row>
    <row r="24" spans="1:10" s="47" customFormat="1" ht="12.75" x14ac:dyDescent="0.2">
      <c r="A24" s="52" t="s">
        <v>16</v>
      </c>
      <c r="B24" s="31"/>
    </row>
    <row r="25" spans="1:10" s="47" customFormat="1" ht="14.25" x14ac:dyDescent="0.25">
      <c r="B25" s="31"/>
      <c r="C25" s="73" t="s">
        <v>55</v>
      </c>
      <c r="D25" s="74"/>
      <c r="E25" s="74"/>
      <c r="F25" s="74"/>
      <c r="G25" s="74"/>
      <c r="H25" s="74"/>
      <c r="I25" s="74"/>
      <c r="J25" s="75"/>
    </row>
    <row r="26" spans="1:10" s="47" customFormat="1" ht="12.75" x14ac:dyDescent="0.2">
      <c r="A26" s="45">
        <v>125</v>
      </c>
      <c r="B26" s="46" t="s">
        <v>17</v>
      </c>
      <c r="C26" s="51" t="str">
        <f>IF(C9="","",IF(AND(OR(ISNUMBER(C21),ISNUMBER(C22)),SUM(TechData!E36:E49)&lt;&gt;0),IF(TechData!E36="","&lt; BGL",IF(TechData!E36*LN(SelectionData!$C$2)+TechData!E37&lt;=0,"&lt; BGL",TechData!E36*LN(SelectionData!$C$2)+TechData!E37)),"-"))</f>
        <v>-</v>
      </c>
      <c r="D26" s="51" t="str">
        <f>IF(D9="","",IF(AND(OR(ISNUMBER(D21),ISNUMBER(D22)),SUM(TechData!F36:F49)&lt;&gt;0),IF(TechData!F36="","&lt; BGL",IF(TechData!F36*LN(SelectionData!$C$2)+TechData!F37&lt;=0,"&lt; BGL",TechData!F36*LN(SelectionData!$C$2)+TechData!F37)),"-"))</f>
        <v>&lt; BGL</v>
      </c>
      <c r="E26" s="51">
        <f>IF(E9="","",IF(AND(OR(ISNUMBER(E21),ISNUMBER(E22)),SUM(TechData!G36:G49)&lt;&gt;0),IF(TechData!G36="","&lt; BGL",IF(TechData!G36*LN(SelectionData!$C$2)+TechData!G37&lt;=0,"&lt; BGL",TechData!G36*LN(SelectionData!$C$2)+TechData!G37)),"-"))</f>
        <v>44.442204111217357</v>
      </c>
      <c r="F26" s="51">
        <f>IF(F9="","",IF(AND(OR(ISNUMBER(F21),ISNUMBER(F22)),SUM(TechData!H36:H49)&lt;&gt;0),IF(TechData!H36="","&lt; BGL",IF(TechData!H36*LN(SelectionData!$C$2)+TechData!H37&lt;=0,"&lt; BGL",TechData!H36*LN(SelectionData!$C$2)+TechData!H37)),"-"))</f>
        <v>39.154282021642871</v>
      </c>
      <c r="G26" s="51">
        <f>IF(G9="","",IF(AND(OR(ISNUMBER(G21),ISNUMBER(G22)),SUM(TechData!I36:I49)&lt;&gt;0),IF(TechData!I36="","&lt; BGL",IF(TechData!I36*LN(SelectionData!$C$2)+TechData!I37&lt;=0,"&lt; BGL",TechData!I36*LN(SelectionData!$C$2)+TechData!I37)),"-"))</f>
        <v>33.710194261413548</v>
      </c>
      <c r="H26" s="51" t="str">
        <f>IF(H9="","",IF(AND(OR(ISNUMBER(H21),ISNUMBER(H22)),SUM(TechData!J36:J49)&lt;&gt;0),IF(TechData!J36="","&lt; BGL",IF(TechData!J36*LN(SelectionData!$C$2)+TechData!J37&lt;=0,"&lt; BGL",TechData!J36*LN(SelectionData!$C$2)+TechData!J37)),"-"))</f>
        <v>-</v>
      </c>
      <c r="I26" s="51" t="str">
        <f>IF(I9="","",IF(AND(OR(ISNUMBER(I21),ISNUMBER(I22)),SUM(TechData!K36:K49)&lt;&gt;0),IF(TechData!K36="","&lt; BGL",IF(TechData!K36*LN(SelectionData!$C$2)+TechData!K37&lt;=0,"&lt; BGL",TechData!K36*LN(SelectionData!$C$2)+TechData!K37)),"-"))</f>
        <v>-</v>
      </c>
      <c r="J26" s="51" t="str">
        <f>IF(J9="","",IF(AND(OR(ISNUMBER(J21),ISNUMBER(J22)),SUM(TechData!L36:L49)&lt;&gt;0),IF(TechData!L36="","&lt; BGL",IF(TechData!L36*LN(SelectionData!$C$2)+TechData!L37&lt;=0,"&lt; BGL",TechData!L36*LN(SelectionData!$C$2)+TechData!L37)),"-"))</f>
        <v>-</v>
      </c>
    </row>
    <row r="27" spans="1:10" s="47" customFormat="1" ht="12.75" x14ac:dyDescent="0.2">
      <c r="A27" s="45">
        <v>250</v>
      </c>
      <c r="B27" s="46" t="s">
        <v>17</v>
      </c>
      <c r="C27" s="51" t="str">
        <f>IF(C9="","",IF(AND(OR(ISNUMBER(C21),ISNUMBER(C22)),SUM(TechData!E36:E49)&lt;&gt;0),IF(TechData!E38="","&lt; BGL",IF(TechData!E38*LN(SelectionData!$C$2)+TechData!E39&lt;=0,"&lt; BGL",TechData!E38*LN(SelectionData!$C$2)+TechData!E39)),"-"))</f>
        <v>-</v>
      </c>
      <c r="D27" s="51">
        <f>IF(D9="","",IF(AND(OR(ISNUMBER(D21),ISNUMBER(D22)),SUM(TechData!F36:F49)&lt;&gt;0),IF(TechData!F38="","&lt; BGL",IF(TechData!F38*LN(SelectionData!$C$2)+TechData!F39&lt;=0,"&lt; BGL",TechData!F38*LN(SelectionData!$C$2)+TechData!F39)),"-"))</f>
        <v>42.940599854808042</v>
      </c>
      <c r="E27" s="51">
        <f>IF(E9="","",IF(AND(OR(ISNUMBER(E21),ISNUMBER(E22)),SUM(TechData!G36:G49)&lt;&gt;0),IF(TechData!G38="","&lt; BGL",IF(TechData!G38*LN(SelectionData!$C$2)+TechData!G39&lt;=0,"&lt; BGL",TechData!G38*LN(SelectionData!$C$2)+TechData!G39)),"-"))</f>
        <v>43.941895384501393</v>
      </c>
      <c r="F27" s="51">
        <f>IF(F9="","",IF(AND(OR(ISNUMBER(F21),ISNUMBER(F22)),SUM(TechData!H36:H49)&lt;&gt;0),IF(TechData!H38="","&lt; BGL",IF(TechData!H38*LN(SelectionData!$C$2)+TechData!H39&lt;=0,"&lt; BGL",TechData!H38*LN(SelectionData!$C$2)+TechData!H39)),"-"))</f>
        <v>36.966792407488413</v>
      </c>
      <c r="G27" s="51">
        <f>IF(G9="","",IF(AND(OR(ISNUMBER(G21),ISNUMBER(G22)),SUM(TechData!I36:I49)&lt;&gt;0),IF(TechData!I38="","&lt; BGL",IF(TechData!I38*LN(SelectionData!$C$2)+TechData!I39&lt;=0,"&lt; BGL",TechData!I38*LN(SelectionData!$C$2)+TechData!I39)),"-"))</f>
        <v>26.966180962256956</v>
      </c>
      <c r="H27" s="51" t="str">
        <f>IF(H9="","",IF(AND(OR(ISNUMBER(H21),ISNUMBER(H22)),SUM(TechData!J36:J49)&lt;&gt;0),IF(TechData!J38="","&lt; BGL",IF(TechData!J38*LN(SelectionData!$C$2)+TechData!J39&lt;=0,"&lt; BGL",TechData!J38*LN(SelectionData!$C$2)+TechData!J39)),"-"))</f>
        <v>-</v>
      </c>
      <c r="I27" s="51" t="str">
        <f>IF(I9="","",IF(AND(OR(ISNUMBER(I21),ISNUMBER(I22)),SUM(TechData!K36:K49)&lt;&gt;0),IF(TechData!K38="","&lt; BGL",IF(TechData!K38*LN(SelectionData!$C$2)+TechData!K39&lt;=0,"&lt; BGL",TechData!K38*LN(SelectionData!$C$2)+TechData!K39)),"-"))</f>
        <v>-</v>
      </c>
      <c r="J27" s="51" t="str">
        <f>IF(J9="","",IF(AND(OR(ISNUMBER(J21),ISNUMBER(J22)),SUM(TechData!L36:L49)&lt;&gt;0),IF(TechData!L38="","&lt; BGL",IF(TechData!L38*LN(SelectionData!$C$2)+TechData!L39&lt;=0,"&lt; BGL",TechData!L38*LN(SelectionData!$C$2)+TechData!L39)),"-"))</f>
        <v>-</v>
      </c>
    </row>
    <row r="28" spans="1:10" s="47" customFormat="1" ht="12.75" x14ac:dyDescent="0.2">
      <c r="A28" s="45">
        <v>500</v>
      </c>
      <c r="B28" s="46" t="s">
        <v>17</v>
      </c>
      <c r="C28" s="51" t="str">
        <f>IF(C9="","",IF(AND(OR(ISNUMBER(C21),ISNUMBER(C22)),SUM(TechData!E36:E49)&lt;&gt;0),IF(TechData!E40="","&lt; BGL",IF(TechData!E40*LN(SelectionData!$C$2)+TechData!E41&lt;=0,"&lt; BGL",TechData!E40*LN(SelectionData!$C$2)+TechData!E41)),"-"))</f>
        <v>-</v>
      </c>
      <c r="D28" s="51">
        <f>IF(D9="","",IF(AND(OR(ISNUMBER(D21),ISNUMBER(D22)),SUM(TechData!F36:F49)&lt;&gt;0),IF(TechData!F40="","&lt; BGL",IF(TechData!F40*LN(SelectionData!$C$2)+TechData!F41&lt;=0,"&lt; BGL",TechData!F40*LN(SelectionData!$C$2)+TechData!F41)),"-"))</f>
        <v>56.910812691079599</v>
      </c>
      <c r="E28" s="51">
        <f>IF(E9="","",IF(AND(OR(ISNUMBER(E21),ISNUMBER(E22)),SUM(TechData!G36:G49)&lt;&gt;0),IF(TechData!G40="","&lt; BGL",IF(TechData!G40*LN(SelectionData!$C$2)+TechData!G41&lt;=0,"&lt; BGL",TechData!G40*LN(SelectionData!$C$2)+TechData!G41)),"-"))</f>
        <v>44.443858348935038</v>
      </c>
      <c r="F28" s="51">
        <f>IF(F9="","",IF(AND(OR(ISNUMBER(F21),ISNUMBER(F22)),SUM(TechData!H36:H49)&lt;&gt;0),IF(TechData!H40="","&lt; BGL",IF(TechData!H40*LN(SelectionData!$C$2)+TechData!H41&lt;=0,"&lt; BGL",TechData!H40*LN(SelectionData!$C$2)+TechData!H41)),"-"))</f>
        <v>33.032707116372222</v>
      </c>
      <c r="G28" s="51">
        <f>IF(G9="","",IF(AND(OR(ISNUMBER(G21),ISNUMBER(G22)),SUM(TechData!I36:I49)&lt;&gt;0),IF(TechData!I40="","&lt; BGL",IF(TechData!I40*LN(SelectionData!$C$2)+TechData!I41&lt;=0,"&lt; BGL",TechData!I40*LN(SelectionData!$C$2)+TechData!I41)),"-"))</f>
        <v>20.24973652880864</v>
      </c>
      <c r="H28" s="51" t="str">
        <f>IF(H9="","",IF(AND(OR(ISNUMBER(H21),ISNUMBER(H22)),SUM(TechData!J36:J49)&lt;&gt;0),IF(TechData!J40="","&lt; BGL",IF(TechData!J40*LN(SelectionData!$C$2)+TechData!J41&lt;=0,"&lt; BGL",TechData!J40*LN(SelectionData!$C$2)+TechData!J41)),"-"))</f>
        <v>-</v>
      </c>
      <c r="I28" s="51" t="str">
        <f>IF(I9="","",IF(AND(OR(ISNUMBER(I21),ISNUMBER(I22)),SUM(TechData!K36:K49)&lt;&gt;0),IF(TechData!K40="","&lt; BGL",IF(TechData!K40*LN(SelectionData!$C$2)+TechData!K41&lt;=0,"&lt; BGL",TechData!K40*LN(SelectionData!$C$2)+TechData!K41)),"-"))</f>
        <v>-</v>
      </c>
      <c r="J28" s="51" t="str">
        <f>IF(J9="","",IF(AND(OR(ISNUMBER(J21),ISNUMBER(J22)),SUM(TechData!L36:L49)&lt;&gt;0),IF(TechData!L40="","&lt; BGL",IF(TechData!L40*LN(SelectionData!$C$2)+TechData!L41&lt;=0,"&lt; BGL",TechData!L40*LN(SelectionData!$C$2)+TechData!L41)),"-"))</f>
        <v>-</v>
      </c>
    </row>
    <row r="29" spans="1:10" s="47" customFormat="1" ht="12.75" x14ac:dyDescent="0.2">
      <c r="A29" s="45">
        <v>1000</v>
      </c>
      <c r="B29" s="46" t="s">
        <v>17</v>
      </c>
      <c r="C29" s="51" t="str">
        <f>IF(C9="","",IF(AND(OR(ISNUMBER(C21),ISNUMBER(C22)),SUM(TechData!E36:E49)&lt;&gt;0),IF(TechData!E42="","&lt; BGL",IF(TechData!E42*LN(SelectionData!$C$2)+TechData!E43&lt;=0,"&lt; BGL",TechData!E42*LN(SelectionData!$C$2)+TechData!E43)),"-"))</f>
        <v>-</v>
      </c>
      <c r="D29" s="51">
        <f>IF(D9="","",IF(AND(OR(ISNUMBER(D21),ISNUMBER(D22)),SUM(TechData!F36:F49)&lt;&gt;0),IF(TechData!F42="","&lt; BGL",IF(TechData!F42*LN(SelectionData!$C$2)+TechData!F43&lt;=0,"&lt; BGL",TechData!F42*LN(SelectionData!$C$2)+TechData!F43)),"-"))</f>
        <v>63.762537312894409</v>
      </c>
      <c r="E29" s="51">
        <f>IF(E9="","",IF(AND(OR(ISNUMBER(E21),ISNUMBER(E22)),SUM(TechData!G36:G49)&lt;&gt;0),IF(TechData!G42="","&lt; BGL",IF(TechData!G42*LN(SelectionData!$C$2)+TechData!G43&lt;=0,"&lt; BGL",TechData!G42*LN(SelectionData!$C$2)+TechData!G43)),"-"))</f>
        <v>41.764418766320119</v>
      </c>
      <c r="F29" s="51">
        <f>IF(F9="","",IF(AND(OR(ISNUMBER(F21),ISNUMBER(F22)),SUM(TechData!H36:H49)&lt;&gt;0),IF(TechData!H42="","&lt; BGL",IF(TechData!H42*LN(SelectionData!$C$2)+TechData!H43&lt;=0,"&lt; BGL",TechData!H42*LN(SelectionData!$C$2)+TechData!H43)),"-"))</f>
        <v>26.070260495283719</v>
      </c>
      <c r="G29" s="51">
        <f>IF(G9="","",IF(AND(OR(ISNUMBER(G21),ISNUMBER(G22)),SUM(TechData!I36:I49)&lt;&gt;0),IF(TechData!I42="","&lt; BGL",IF(TechData!I42*LN(SelectionData!$C$2)+TechData!I43&lt;=0,"&lt; BGL",TechData!I42*LN(SelectionData!$C$2)+TechData!I43)),"-"))</f>
        <v>13.314645499775366</v>
      </c>
      <c r="H29" s="51" t="str">
        <f>IF(H9="","",IF(AND(OR(ISNUMBER(H21),ISNUMBER(H22)),SUM(TechData!J36:J49)&lt;&gt;0),IF(TechData!J42="","&lt; BGL",IF(TechData!J42*LN(SelectionData!$C$2)+TechData!J43&lt;=0,"&lt; BGL",TechData!J42*LN(SelectionData!$C$2)+TechData!J43)),"-"))</f>
        <v>-</v>
      </c>
      <c r="I29" s="51" t="str">
        <f>IF(I9="","",IF(AND(OR(ISNUMBER(I21),ISNUMBER(I22)),SUM(TechData!K36:K49)&lt;&gt;0),IF(TechData!K42="","&lt; BGL",IF(TechData!K42*LN(SelectionData!$C$2)+TechData!K43&lt;=0,"&lt; BGL",TechData!K42*LN(SelectionData!$C$2)+TechData!K43)),"-"))</f>
        <v>-</v>
      </c>
      <c r="J29" s="51" t="str">
        <f>IF(J9="","",IF(AND(OR(ISNUMBER(J21),ISNUMBER(J22)),SUM(TechData!L36:L49)&lt;&gt;0),IF(TechData!L42="","&lt; BGL",IF(TechData!L42*LN(SelectionData!$C$2)+TechData!L43&lt;=0,"&lt; BGL",TechData!L42*LN(SelectionData!$C$2)+TechData!L43)),"-"))</f>
        <v>-</v>
      </c>
    </row>
    <row r="30" spans="1:10" s="47" customFormat="1" ht="12.75" x14ac:dyDescent="0.2">
      <c r="A30" s="45">
        <v>2000</v>
      </c>
      <c r="B30" s="46" t="s">
        <v>17</v>
      </c>
      <c r="C30" s="51" t="str">
        <f>IF(C9="","",IF(AND(OR(ISNUMBER(C21),ISNUMBER(C22)),SUM(TechData!E36:E49)&lt;&gt;0),IF(TechData!E44="","&lt; BGL",IF(TechData!E44*LN(SelectionData!$C$2)+TechData!E45&lt;=0,"&lt; BGL",TechData!E44*LN(SelectionData!$C$2)+TechData!E45)),"-"))</f>
        <v>-</v>
      </c>
      <c r="D30" s="51">
        <f>IF(D9="","",IF(AND(OR(ISNUMBER(D21),ISNUMBER(D22)),SUM(TechData!F36:F49)&lt;&gt;0),IF(TechData!F44="","&lt; BGL",IF(TechData!F44*LN(SelectionData!$C$2)+TechData!F45&lt;=0,"&lt; BGL",TechData!F44*LN(SelectionData!$C$2)+TechData!F45)),"-"))</f>
        <v>60.888755889833362</v>
      </c>
      <c r="E30" s="51">
        <f>IF(E9="","",IF(AND(OR(ISNUMBER(E21),ISNUMBER(E22)),SUM(TechData!G36:G49)&lt;&gt;0),IF(TechData!G44="","&lt; BGL",IF(TechData!G44*LN(SelectionData!$C$2)+TechData!G45&lt;=0,"&lt; BGL",TechData!G44*LN(SelectionData!$C$2)+TechData!G45)),"-"))</f>
        <v>37.525447872622806</v>
      </c>
      <c r="F30" s="51">
        <f>IF(F9="","",IF(AND(OR(ISNUMBER(F21),ISNUMBER(F22)),SUM(TechData!H36:H49)&lt;&gt;0),IF(TechData!H44="","&lt; BGL",IF(TechData!H44*LN(SelectionData!$C$2)+TechData!H45&lt;=0,"&lt; BGL",TechData!H44*LN(SelectionData!$C$2)+TechData!H45)),"-"))</f>
        <v>19.248628211477495</v>
      </c>
      <c r="G30" s="51" t="str">
        <f>IF(G9="","",IF(AND(OR(ISNUMBER(G21),ISNUMBER(G22)),SUM(TechData!I36:I49)&lt;&gt;0),IF(TechData!I44="","&lt; BGL",IF(TechData!I44*LN(SelectionData!$C$2)+TechData!I45&lt;=0,"&lt; BGL",TechData!I44*LN(SelectionData!$C$2)+TechData!I45)),"-"))</f>
        <v>&lt; BGL</v>
      </c>
      <c r="H30" s="51" t="str">
        <f>IF(H9="","",IF(AND(OR(ISNUMBER(H21),ISNUMBER(H22)),SUM(TechData!J36:J49)&lt;&gt;0),IF(TechData!J44="","&lt; BGL",IF(TechData!J44*LN(SelectionData!$C$2)+TechData!J45&lt;=0,"&lt; BGL",TechData!J44*LN(SelectionData!$C$2)+TechData!J45)),"-"))</f>
        <v>-</v>
      </c>
      <c r="I30" s="51" t="str">
        <f>IF(I9="","",IF(AND(OR(ISNUMBER(I21),ISNUMBER(I22)),SUM(TechData!K36:K49)&lt;&gt;0),IF(TechData!K44="","&lt; BGL",IF(TechData!K44*LN(SelectionData!$C$2)+TechData!K45&lt;=0,"&lt; BGL",TechData!K44*LN(SelectionData!$C$2)+TechData!K45)),"-"))</f>
        <v>-</v>
      </c>
      <c r="J30" s="51" t="str">
        <f>IF(J9="","",IF(AND(OR(ISNUMBER(J21),ISNUMBER(J22)),SUM(TechData!L36:L49)&lt;&gt;0),IF(TechData!L44="","&lt; BGL",IF(TechData!L44*LN(SelectionData!$C$2)+TechData!L45&lt;=0,"&lt; BGL",TechData!L44*LN(SelectionData!$C$2)+TechData!L45)),"-"))</f>
        <v>-</v>
      </c>
    </row>
    <row r="31" spans="1:10" s="47" customFormat="1" ht="12.75" x14ac:dyDescent="0.2">
      <c r="A31" s="45">
        <v>4000</v>
      </c>
      <c r="B31" s="46" t="s">
        <v>17</v>
      </c>
      <c r="C31" s="51" t="str">
        <f>IF(C9="","",IF(AND(OR(ISNUMBER(C21),ISNUMBER(C22)),SUM(TechData!E36:E49)&lt;&gt;0),IF(TechData!E46="","&lt; BGL",IF(TechData!E46*LN(SelectionData!$C$2)+TechData!E47&lt;=0,"&lt; BGL",TechData!E46*LN(SelectionData!$C$2)+TechData!E47)),"-"))</f>
        <v>-</v>
      </c>
      <c r="D31" s="51">
        <f>IF(D9="","",IF(AND(OR(ISNUMBER(D21),ISNUMBER(D22)),SUM(TechData!F36:F49)&lt;&gt;0),IF(TechData!F46="","&lt; BGL",IF(TechData!F46*LN(SelectionData!$C$2)+TechData!F47&lt;=0,"&lt; BGL",TechData!F46*LN(SelectionData!$C$2)+TechData!F47)),"-"))</f>
        <v>57.212842337777545</v>
      </c>
      <c r="E31" s="51">
        <f>IF(E9="","",IF(AND(OR(ISNUMBER(E21),ISNUMBER(E22)),SUM(TechData!G36:G49)&lt;&gt;0),IF(TechData!G46="","&lt; BGL",IF(TechData!G46*LN(SelectionData!$C$2)+TechData!G47&lt;=0,"&lt; BGL",TechData!G46*LN(SelectionData!$C$2)+TechData!G47)),"-"))</f>
        <v>31.934055658463024</v>
      </c>
      <c r="F31" s="51">
        <f>IF(F9="","",IF(AND(OR(ISNUMBER(F21),ISNUMBER(F22)),SUM(TechData!H36:H49)&lt;&gt;0),IF(TechData!H46="","&lt; BGL",IF(TechData!H46*LN(SelectionData!$C$2)+TechData!H47&lt;=0,"&lt; BGL",TechData!H46*LN(SelectionData!$C$2)+TechData!H47)),"-"))</f>
        <v>10.446005860762568</v>
      </c>
      <c r="G31" s="51" t="str">
        <f>IF(G9="","",IF(AND(OR(ISNUMBER(G21),ISNUMBER(G22)),SUM(TechData!I36:I49)&lt;&gt;0),IF(TechData!I46="","&lt; BGL",IF(TechData!I46*LN(SelectionData!$C$2)+TechData!I47&lt;=0,"&lt; BGL",TechData!I46*LN(SelectionData!$C$2)+TechData!I47)),"-"))</f>
        <v>&lt; BGL</v>
      </c>
      <c r="H31" s="51" t="str">
        <f>IF(H9="","",IF(AND(OR(ISNUMBER(H21),ISNUMBER(H22)),SUM(TechData!J36:J49)&lt;&gt;0),IF(TechData!J46="","&lt; BGL",IF(TechData!J46*LN(SelectionData!$C$2)+TechData!J47&lt;=0,"&lt; BGL",TechData!J46*LN(SelectionData!$C$2)+TechData!J47)),"-"))</f>
        <v>-</v>
      </c>
      <c r="I31" s="51" t="str">
        <f>IF(I9="","",IF(AND(OR(ISNUMBER(I21),ISNUMBER(I22)),SUM(TechData!K36:K49)&lt;&gt;0),IF(TechData!K46="","&lt; BGL",IF(TechData!K46*LN(SelectionData!$C$2)+TechData!K47&lt;=0,"&lt; BGL",TechData!K46*LN(SelectionData!$C$2)+TechData!K47)),"-"))</f>
        <v>-</v>
      </c>
      <c r="J31" s="51" t="str">
        <f>IF(J9="","",IF(AND(OR(ISNUMBER(J21),ISNUMBER(J22)),SUM(TechData!L36:L49)&lt;&gt;0),IF(TechData!L46="","&lt; BGL",IF(TechData!L46*LN(SelectionData!$C$2)+TechData!L47&lt;=0,"&lt; BGL",TechData!L46*LN(SelectionData!$C$2)+TechData!L47)),"-"))</f>
        <v>-</v>
      </c>
    </row>
    <row r="32" spans="1:10" s="47" customFormat="1" ht="12.75" x14ac:dyDescent="0.2">
      <c r="A32" s="45">
        <v>8000</v>
      </c>
      <c r="B32" s="46" t="s">
        <v>17</v>
      </c>
      <c r="C32" s="51" t="str">
        <f>IF(C9="","",IF(AND(OR(ISNUMBER(C21),ISNUMBER(C22)),SUM(TechData!E36:E49)&lt;&gt;0),IF(TechData!E48="","&lt; BGL",IF(TechData!E48*LN(SelectionData!$C$2)+TechData!E49&lt;=0,"&lt; BGL",TechData!E48*LN(SelectionData!$C$2)+TechData!E49)),"-"))</f>
        <v>-</v>
      </c>
      <c r="D32" s="51" t="str">
        <f>IF(D9="","",IF(AND(OR(ISNUMBER(D21),ISNUMBER(D22)),SUM(TechData!F36:F49)&lt;&gt;0),IF(TechData!F48="","&lt; BGL",IF(TechData!F48*LN(SelectionData!$C$2)+TechData!F49&lt;=0,"&lt; BGL",TechData!F48*LN(SelectionData!$C$2)+TechData!F49)),"-"))</f>
        <v>&lt; BGL</v>
      </c>
      <c r="E32" s="51" t="str">
        <f>IF(E9="","",IF(AND(OR(ISNUMBER(E21),ISNUMBER(E22)),SUM(TechData!G36:G49)&lt;&gt;0),IF(TechData!G48="","&lt; BGL",IF(TechData!G48*LN(SelectionData!$C$2)+TechData!G49&lt;=0,"&lt; BGL",TechData!G48*LN(SelectionData!$C$2)+TechData!G49)),"-"))</f>
        <v>&lt; BGL</v>
      </c>
      <c r="F32" s="51" t="str">
        <f>IF(F9="","",IF(AND(OR(ISNUMBER(F21),ISNUMBER(F22)),SUM(TechData!H36:H49)&lt;&gt;0),IF(TechData!H48="","&lt; BGL",IF(TechData!H48*LN(SelectionData!$C$2)+TechData!H49&lt;=0,"&lt; BGL",TechData!H48*LN(SelectionData!$C$2)+TechData!H49)),"-"))</f>
        <v>&lt; BGL</v>
      </c>
      <c r="G32" s="51" t="str">
        <f>IF(G9="","",IF(AND(OR(ISNUMBER(G21),ISNUMBER(G22)),SUM(TechData!I36:I49)&lt;&gt;0),IF(TechData!I48="","&lt; BGL",IF(TechData!I48*LN(SelectionData!$C$2)+TechData!I49&lt;=0,"&lt; BGL",TechData!I48*LN(SelectionData!$C$2)+TechData!I49)),"-"))</f>
        <v>&lt; BGL</v>
      </c>
      <c r="H32" s="51" t="str">
        <f>IF(H9="","",IF(AND(OR(ISNUMBER(H21),ISNUMBER(H22)),SUM(TechData!J36:J49)&lt;&gt;0),IF(TechData!J48="","&lt; BGL",IF(TechData!J48*LN(SelectionData!$C$2)+TechData!J49&lt;=0,"&lt; BGL",TechData!J48*LN(SelectionData!$C$2)+TechData!J49)),"-"))</f>
        <v>-</v>
      </c>
      <c r="I32" s="51" t="str">
        <f>IF(I9="","",IF(AND(OR(ISNUMBER(I21),ISNUMBER(I22)),SUM(TechData!K36:K49)&lt;&gt;0),IF(TechData!K48="","&lt; BGL",IF(TechData!K48*LN(SelectionData!$C$2)+TechData!K49&lt;=0,"&lt; BGL",TechData!K48*LN(SelectionData!$C$2)+TechData!K49)),"-"))</f>
        <v>-</v>
      </c>
      <c r="J32" s="51" t="str">
        <f>IF(J9="","",IF(AND(OR(ISNUMBER(J21),ISNUMBER(J22)),SUM(TechData!L36:L49)&lt;&gt;0),IF(TechData!L48="","&lt; BGL",IF(TechData!L48*LN(SelectionData!$C$2)+TechData!L49&lt;=0,"&lt; BGL",TechData!L48*LN(SelectionData!$C$2)+TechData!L49)),"-"))</f>
        <v>-</v>
      </c>
    </row>
    <row r="33" spans="1:1" x14ac:dyDescent="0.25">
      <c r="A33" s="7" t="s">
        <v>18</v>
      </c>
    </row>
  </sheetData>
  <sheetProtection algorithmName="SHA-512" hashValue="YaVxfX/Z5nAyguVvJMz9HbSr5cTLtoHeFsvJKyT+nERKZDnKLgOaVAZLbIPGYK14I7yNl4rg6jpqottpBFDf2w==" saltValue="QgjNLxxF2gW9Ahht6J1t5Q==" spinCount="100000" sheet="1" objects="1" scenarios="1"/>
  <mergeCells count="2">
    <mergeCell ref="C19:J19"/>
    <mergeCell ref="C25:J25"/>
  </mergeCells>
  <dataValidations count="1">
    <dataValidation type="list" allowBlank="1" showInputMessage="1" showErrorMessage="1" sqref="C7">
      <formula1>units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sheetProtection algorithmName="SHA-512" hashValue="WS5Dl8isiTjh3bBGsrbod/dIBxzk1AesGCMYh19Pq3P/OzkKdRhwJ1h0wwxVrAJ4WT+EFZ567sfVTP34sb8Frg==" saltValue="JJ8cjd9cmZZGp6siqrkHm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P50"/>
  <sheetViews>
    <sheetView topLeftCell="B1" zoomScale="90" zoomScaleNormal="90" workbookViewId="0">
      <selection activeCell="L1" sqref="D1:L1"/>
    </sheetView>
  </sheetViews>
  <sheetFormatPr defaultRowHeight="15" x14ac:dyDescent="0.25"/>
  <cols>
    <col min="1" max="1" width="33.5703125" bestFit="1" customWidth="1"/>
    <col min="2" max="2" width="5.140625" customWidth="1"/>
    <col min="3" max="3" width="22.5703125" style="1" bestFit="1" customWidth="1"/>
    <col min="4" max="7" width="14.140625" style="58" customWidth="1"/>
    <col min="8" max="12" width="14.140625" style="31" customWidth="1"/>
  </cols>
  <sheetData>
    <row r="1" spans="1:16" x14ac:dyDescent="0.25">
      <c r="A1" s="14"/>
      <c r="B1" s="15"/>
      <c r="C1" s="16" t="s">
        <v>24</v>
      </c>
      <c r="D1" s="60" t="s">
        <v>68</v>
      </c>
      <c r="E1" s="60" t="s">
        <v>68</v>
      </c>
      <c r="F1" s="60" t="s">
        <v>68</v>
      </c>
      <c r="G1" s="60" t="s">
        <v>68</v>
      </c>
      <c r="H1" s="60" t="s">
        <v>68</v>
      </c>
      <c r="I1" s="60" t="s">
        <v>68</v>
      </c>
      <c r="J1" s="60" t="s">
        <v>68</v>
      </c>
      <c r="K1" s="60" t="s">
        <v>68</v>
      </c>
      <c r="L1" s="54" t="s">
        <v>68</v>
      </c>
    </row>
    <row r="2" spans="1:16" x14ac:dyDescent="0.25">
      <c r="A2" s="8"/>
      <c r="B2" s="13"/>
      <c r="C2" s="17" t="s">
        <v>65</v>
      </c>
      <c r="D2" s="54">
        <v>80</v>
      </c>
      <c r="E2" s="54">
        <v>100</v>
      </c>
      <c r="F2" s="54">
        <v>125</v>
      </c>
      <c r="G2" s="54">
        <v>160</v>
      </c>
      <c r="H2" s="54">
        <v>200</v>
      </c>
      <c r="I2" s="54">
        <v>250</v>
      </c>
      <c r="J2" s="54">
        <v>315</v>
      </c>
      <c r="K2" s="54">
        <v>400</v>
      </c>
      <c r="L2" s="54">
        <v>500</v>
      </c>
      <c r="P2" s="18"/>
    </row>
    <row r="3" spans="1:16" x14ac:dyDescent="0.25">
      <c r="A3" s="8"/>
      <c r="B3" s="13"/>
      <c r="C3" s="17" t="s">
        <v>66</v>
      </c>
      <c r="D3" s="68" t="s">
        <v>67</v>
      </c>
      <c r="E3" s="68" t="s">
        <v>67</v>
      </c>
      <c r="F3" s="68" t="s">
        <v>67</v>
      </c>
      <c r="G3" s="68" t="s">
        <v>67</v>
      </c>
      <c r="H3" s="68" t="s">
        <v>67</v>
      </c>
      <c r="I3" s="68" t="s">
        <v>67</v>
      </c>
      <c r="J3" s="68" t="s">
        <v>67</v>
      </c>
      <c r="K3" s="68" t="s">
        <v>67</v>
      </c>
      <c r="L3" s="72" t="s">
        <v>67</v>
      </c>
    </row>
    <row r="4" spans="1:16" x14ac:dyDescent="0.25">
      <c r="A4" s="8"/>
      <c r="B4" s="13"/>
      <c r="C4" s="17"/>
      <c r="D4" s="60"/>
      <c r="E4" s="60"/>
      <c r="F4" s="60"/>
      <c r="G4" s="60"/>
      <c r="H4" s="60"/>
      <c r="I4" s="60"/>
      <c r="J4" s="60"/>
      <c r="K4" s="60"/>
      <c r="L4" s="54"/>
    </row>
    <row r="5" spans="1:16" x14ac:dyDescent="0.25">
      <c r="A5" s="19"/>
      <c r="B5" s="20"/>
      <c r="C5" s="21"/>
      <c r="D5" s="54"/>
      <c r="E5" s="54"/>
      <c r="F5" s="54"/>
      <c r="G5" s="54"/>
      <c r="H5" s="54"/>
      <c r="I5" s="54"/>
      <c r="J5" s="54"/>
      <c r="K5" s="54"/>
      <c r="L5" s="54"/>
    </row>
    <row r="6" spans="1:16" ht="15" customHeight="1" x14ac:dyDescent="0.25">
      <c r="A6" s="3" t="s">
        <v>0</v>
      </c>
      <c r="B6" s="9"/>
      <c r="C6" s="4"/>
      <c r="D6" s="55"/>
      <c r="E6" s="55"/>
      <c r="F6" s="55"/>
      <c r="G6" s="55"/>
      <c r="H6" s="55"/>
      <c r="I6" s="55"/>
      <c r="J6" s="55"/>
      <c r="K6" s="55"/>
      <c r="L6" s="64"/>
    </row>
    <row r="7" spans="1:16" ht="15" customHeight="1" x14ac:dyDescent="0.35">
      <c r="A7" s="8"/>
      <c r="B7" s="12"/>
      <c r="C7" s="2" t="s">
        <v>5</v>
      </c>
      <c r="D7" s="61">
        <v>1.775134638128758E-3</v>
      </c>
      <c r="E7" s="61">
        <v>2.8603381917662891E-3</v>
      </c>
      <c r="F7" s="61">
        <v>4.608965650009119E-3</v>
      </c>
      <c r="G7" s="61">
        <v>7.8128604244414295E-3</v>
      </c>
      <c r="H7" s="61">
        <v>1.2589142580489812E-2</v>
      </c>
      <c r="I7" s="61">
        <v>2.0285337546297261E-2</v>
      </c>
      <c r="J7" s="61">
        <v>3.324808791699866E-2</v>
      </c>
      <c r="K7" s="61">
        <v>5.540831198496677E-2</v>
      </c>
      <c r="L7" s="61">
        <v>8.9281402946972399E-2</v>
      </c>
    </row>
    <row r="8" spans="1:16" ht="15" customHeight="1" x14ac:dyDescent="0.35">
      <c r="A8" s="8"/>
      <c r="B8" s="12"/>
      <c r="C8" s="2" t="s">
        <v>4</v>
      </c>
      <c r="D8" s="57">
        <v>1.5107742177257637</v>
      </c>
      <c r="E8" s="57">
        <v>1.5107742177257637</v>
      </c>
      <c r="F8" s="57">
        <v>1.5107742177257637</v>
      </c>
      <c r="G8" s="57">
        <v>1.5107742177257637</v>
      </c>
      <c r="H8" s="57">
        <v>1.5107742177257637</v>
      </c>
      <c r="I8" s="57">
        <v>1.5107742177257637</v>
      </c>
      <c r="J8" s="57">
        <v>1.5107742177257637</v>
      </c>
      <c r="K8" s="57">
        <v>1.5107742177257637</v>
      </c>
      <c r="L8" s="57">
        <v>1.5107742177257637</v>
      </c>
    </row>
    <row r="9" spans="1:16" ht="15" customHeight="1" x14ac:dyDescent="0.35">
      <c r="A9" s="19"/>
      <c r="B9" s="22"/>
      <c r="C9" s="2" t="s">
        <v>6</v>
      </c>
      <c r="D9" s="57">
        <v>-0.19694836249134492</v>
      </c>
      <c r="E9" s="57">
        <v>-0.20647515520744844</v>
      </c>
      <c r="F9" s="57">
        <v>-0.21856831410157251</v>
      </c>
      <c r="G9" s="57">
        <v>-0.23577648444246574</v>
      </c>
      <c r="H9" s="57">
        <v>-0.25576295460730575</v>
      </c>
      <c r="I9" s="57">
        <v>-0.28113346141255269</v>
      </c>
      <c r="J9" s="57">
        <v>-0.31463649823085577</v>
      </c>
      <c r="K9" s="57">
        <v>-0.35916492435214342</v>
      </c>
      <c r="L9" s="57">
        <v>-0.41239027441910009</v>
      </c>
    </row>
    <row r="10" spans="1:16" ht="15" customHeight="1" x14ac:dyDescent="0.25">
      <c r="A10" s="3" t="s">
        <v>3</v>
      </c>
      <c r="B10" s="9"/>
      <c r="C10" s="4"/>
      <c r="D10" s="62"/>
      <c r="E10" s="62"/>
      <c r="F10" s="62"/>
      <c r="G10" s="62"/>
      <c r="H10" s="62"/>
      <c r="I10" s="62"/>
      <c r="J10" s="62"/>
      <c r="K10" s="62"/>
      <c r="L10" s="65"/>
    </row>
    <row r="11" spans="1:16" ht="15" customHeight="1" x14ac:dyDescent="0.25">
      <c r="A11" s="8"/>
      <c r="B11" s="12"/>
      <c r="C11" s="2" t="s">
        <v>2</v>
      </c>
      <c r="D11" s="57">
        <v>4.8394407734620977</v>
      </c>
      <c r="E11" s="57">
        <v>11.152789598504391</v>
      </c>
      <c r="F11" s="57">
        <v>17.034867313612231</v>
      </c>
      <c r="G11" s="57">
        <v>29.228771928785804</v>
      </c>
      <c r="H11" s="57">
        <v>45.740944973742806</v>
      </c>
      <c r="I11" s="57">
        <v>54.984678662551403</v>
      </c>
      <c r="J11" s="57">
        <v>132.99363393390507</v>
      </c>
      <c r="K11" s="57">
        <v>181.73389511418614</v>
      </c>
      <c r="L11" s="57">
        <v>346.38190262929544</v>
      </c>
    </row>
    <row r="12" spans="1:16" ht="15" customHeight="1" x14ac:dyDescent="0.25">
      <c r="A12" s="8"/>
      <c r="B12" s="12"/>
      <c r="C12" s="2" t="s">
        <v>1</v>
      </c>
      <c r="D12" s="57">
        <v>0.49177252965590673</v>
      </c>
      <c r="E12" s="57">
        <v>0.50009525843819969</v>
      </c>
      <c r="F12" s="57">
        <v>0.49495077862616227</v>
      </c>
      <c r="G12" s="57">
        <v>0.48352619276730646</v>
      </c>
      <c r="H12" s="57">
        <v>0.49672185642453509</v>
      </c>
      <c r="I12" s="57">
        <v>0.55395496901429053</v>
      </c>
      <c r="J12" s="57">
        <v>0.49936495500046252</v>
      </c>
      <c r="K12" s="57">
        <v>0.54293547829439048</v>
      </c>
      <c r="L12" s="57">
        <v>0.5</v>
      </c>
    </row>
    <row r="13" spans="1:16" ht="15" customHeight="1" x14ac:dyDescent="0.35">
      <c r="A13" s="23"/>
      <c r="B13" s="24"/>
      <c r="C13" s="2" t="s">
        <v>7</v>
      </c>
      <c r="D13" s="61">
        <f>PI()/4*(78/1000)^2</f>
        <v>4.7783624261100756E-3</v>
      </c>
      <c r="E13" s="61">
        <f>PI()/4*(98/1000)^2</f>
        <v>7.5429639612690945E-3</v>
      </c>
      <c r="F13" s="61">
        <f>PI()/4*(123/1000)^2</f>
        <v>1.1882288814039995E-2</v>
      </c>
      <c r="G13" s="61">
        <f>PI()/4*(158/1000)^2</f>
        <v>1.9606679751053898E-2</v>
      </c>
      <c r="H13" s="61">
        <f>PI()/4*(198/1000)^2</f>
        <v>3.0790749597833563E-2</v>
      </c>
      <c r="I13" s="61">
        <f>PI()/4*(248/1000)^2</f>
        <v>4.8305128641596654E-2</v>
      </c>
      <c r="J13" s="61">
        <f>PI()/4*(313/1000)^2</f>
        <v>7.6944672669884612E-2</v>
      </c>
      <c r="K13" s="61">
        <f>PI()/4*(398/1000)^2</f>
        <v>0.12441021067480941</v>
      </c>
      <c r="L13" s="61">
        <f>PI()/4*(498/1000)^2</f>
        <v>0.19478188611522076</v>
      </c>
    </row>
    <row r="14" spans="1:16" ht="15" customHeight="1" x14ac:dyDescent="0.25">
      <c r="A14" s="3" t="s">
        <v>25</v>
      </c>
      <c r="B14" s="9"/>
      <c r="C14" s="4"/>
      <c r="D14" s="5"/>
      <c r="E14" s="5"/>
      <c r="F14" s="5"/>
      <c r="G14" s="5"/>
      <c r="H14" s="5"/>
      <c r="I14" s="10"/>
      <c r="J14" s="10"/>
      <c r="K14" s="10"/>
      <c r="L14" s="11"/>
    </row>
    <row r="15" spans="1:16" ht="15" customHeight="1" x14ac:dyDescent="0.25">
      <c r="A15" s="25"/>
      <c r="B15" s="26" t="s">
        <v>26</v>
      </c>
      <c r="C15" s="2" t="s">
        <v>2</v>
      </c>
      <c r="D15" s="57"/>
      <c r="E15" s="57"/>
      <c r="F15" s="57"/>
      <c r="G15" s="57"/>
      <c r="H15" s="57"/>
      <c r="I15" s="63"/>
      <c r="J15" s="63"/>
      <c r="K15" s="63"/>
      <c r="L15" s="63"/>
    </row>
    <row r="16" spans="1:16" ht="15" customHeight="1" x14ac:dyDescent="0.25">
      <c r="A16" s="8"/>
      <c r="B16" s="12"/>
      <c r="C16" s="2" t="s">
        <v>1</v>
      </c>
      <c r="D16" s="57"/>
      <c r="E16" s="57"/>
      <c r="F16" s="57"/>
      <c r="G16" s="57"/>
      <c r="H16" s="57"/>
      <c r="I16" s="63"/>
      <c r="J16" s="63"/>
      <c r="K16" s="63"/>
      <c r="L16" s="63"/>
    </row>
    <row r="17" spans="1:12" ht="15" customHeight="1" x14ac:dyDescent="0.25">
      <c r="A17" s="25"/>
      <c r="B17" s="26" t="s">
        <v>27</v>
      </c>
      <c r="C17" s="2" t="s">
        <v>2</v>
      </c>
      <c r="D17" s="57"/>
      <c r="E17" s="57"/>
      <c r="F17" s="57"/>
      <c r="G17" s="57"/>
      <c r="H17" s="57"/>
      <c r="I17" s="63"/>
      <c r="J17" s="63"/>
      <c r="K17" s="63"/>
      <c r="L17" s="63"/>
    </row>
    <row r="18" spans="1:12" ht="15" customHeight="1" x14ac:dyDescent="0.25">
      <c r="A18" s="8"/>
      <c r="B18" s="13"/>
      <c r="C18" s="2" t="s">
        <v>1</v>
      </c>
      <c r="D18" s="57"/>
      <c r="E18" s="57"/>
      <c r="F18" s="57"/>
      <c r="G18" s="57"/>
      <c r="H18" s="57"/>
      <c r="I18" s="63"/>
      <c r="J18" s="63"/>
      <c r="K18" s="63"/>
      <c r="L18" s="63"/>
    </row>
    <row r="19" spans="1:12" ht="15" customHeight="1" x14ac:dyDescent="0.25">
      <c r="A19" s="25"/>
      <c r="B19" s="26" t="s">
        <v>28</v>
      </c>
      <c r="C19" s="2" t="s">
        <v>2</v>
      </c>
      <c r="D19" s="57"/>
      <c r="E19" s="57"/>
      <c r="F19" s="57"/>
      <c r="G19" s="57"/>
      <c r="H19" s="57"/>
      <c r="I19" s="63"/>
      <c r="J19" s="63"/>
      <c r="K19" s="63"/>
      <c r="L19" s="63"/>
    </row>
    <row r="20" spans="1:12" ht="15" customHeight="1" x14ac:dyDescent="0.25">
      <c r="A20" s="8"/>
      <c r="B20" s="13"/>
      <c r="C20" s="2" t="s">
        <v>1</v>
      </c>
      <c r="D20" s="57"/>
      <c r="E20" s="57"/>
      <c r="F20" s="57"/>
      <c r="G20" s="57"/>
      <c r="H20" s="57"/>
      <c r="I20" s="63"/>
      <c r="J20" s="63"/>
      <c r="K20" s="63"/>
      <c r="L20" s="63"/>
    </row>
    <row r="21" spans="1:12" ht="15" customHeight="1" x14ac:dyDescent="0.25">
      <c r="A21" s="25"/>
      <c r="B21" s="26" t="s">
        <v>29</v>
      </c>
      <c r="C21" s="2" t="s">
        <v>2</v>
      </c>
      <c r="D21" s="57"/>
      <c r="E21" s="57"/>
      <c r="F21" s="57"/>
      <c r="G21" s="57"/>
      <c r="H21" s="57"/>
      <c r="I21" s="63"/>
      <c r="J21" s="63"/>
      <c r="K21" s="63"/>
      <c r="L21" s="63"/>
    </row>
    <row r="22" spans="1:12" ht="15" customHeight="1" x14ac:dyDescent="0.25">
      <c r="A22" s="8"/>
      <c r="B22" s="13"/>
      <c r="C22" s="2" t="s">
        <v>1</v>
      </c>
      <c r="D22" s="57"/>
      <c r="E22" s="57"/>
      <c r="F22" s="57"/>
      <c r="G22" s="57"/>
      <c r="H22" s="57"/>
      <c r="I22" s="63"/>
      <c r="J22" s="63"/>
      <c r="K22" s="63"/>
      <c r="L22" s="63"/>
    </row>
    <row r="23" spans="1:12" ht="15" customHeight="1" x14ac:dyDescent="0.25">
      <c r="A23" s="25"/>
      <c r="B23" s="26" t="s">
        <v>30</v>
      </c>
      <c r="C23" s="2" t="s">
        <v>2</v>
      </c>
      <c r="D23" s="57"/>
      <c r="E23" s="57"/>
      <c r="F23" s="57"/>
      <c r="G23" s="57"/>
      <c r="H23" s="57"/>
      <c r="I23" s="63"/>
      <c r="J23" s="63"/>
      <c r="K23" s="63"/>
      <c r="L23" s="63"/>
    </row>
    <row r="24" spans="1:12" ht="15" customHeight="1" x14ac:dyDescent="0.25">
      <c r="A24" s="8"/>
      <c r="B24" s="13"/>
      <c r="C24" s="2" t="s">
        <v>1</v>
      </c>
      <c r="D24" s="57"/>
      <c r="E24" s="57"/>
      <c r="F24" s="57"/>
      <c r="G24" s="57"/>
      <c r="H24" s="57"/>
      <c r="I24" s="63"/>
      <c r="J24" s="63"/>
      <c r="K24" s="63"/>
      <c r="L24" s="63"/>
    </row>
    <row r="25" spans="1:12" ht="15" customHeight="1" x14ac:dyDescent="0.25">
      <c r="A25" s="3" t="s">
        <v>22</v>
      </c>
      <c r="B25" s="9"/>
      <c r="C25" s="4"/>
      <c r="D25" s="5"/>
      <c r="E25" s="5"/>
      <c r="F25" s="5"/>
      <c r="G25" s="5"/>
      <c r="H25" s="5"/>
      <c r="I25" s="10"/>
      <c r="J25" s="10"/>
      <c r="K25" s="10"/>
      <c r="L25" s="11"/>
    </row>
    <row r="26" spans="1:12" ht="15" customHeight="1" x14ac:dyDescent="0.35">
      <c r="A26" s="8"/>
      <c r="B26" s="12"/>
      <c r="C26" s="2" t="s">
        <v>5</v>
      </c>
      <c r="D26" s="57"/>
      <c r="E26" s="57"/>
      <c r="F26" s="57"/>
      <c r="G26" s="57"/>
      <c r="H26" s="57"/>
      <c r="I26" s="63"/>
      <c r="J26" s="63"/>
      <c r="K26" s="63"/>
      <c r="L26" s="63"/>
    </row>
    <row r="27" spans="1:12" ht="15" customHeight="1" x14ac:dyDescent="0.35">
      <c r="A27" s="8"/>
      <c r="B27" s="12"/>
      <c r="C27" s="2" t="s">
        <v>23</v>
      </c>
      <c r="D27" s="57"/>
      <c r="E27" s="57"/>
      <c r="F27" s="57"/>
      <c r="G27" s="57"/>
      <c r="H27" s="57"/>
      <c r="I27" s="63"/>
      <c r="J27" s="63"/>
      <c r="K27" s="63"/>
      <c r="L27" s="63"/>
    </row>
    <row r="28" spans="1:12" ht="15" customHeight="1" x14ac:dyDescent="0.35">
      <c r="A28" s="8"/>
      <c r="B28" s="13"/>
      <c r="C28" s="2" t="s">
        <v>6</v>
      </c>
      <c r="D28" s="57"/>
      <c r="E28" s="57"/>
      <c r="F28" s="57"/>
      <c r="G28" s="57"/>
      <c r="H28" s="57"/>
      <c r="I28" s="63"/>
      <c r="J28" s="63"/>
      <c r="K28" s="63"/>
      <c r="L28" s="63"/>
    </row>
    <row r="29" spans="1:12" ht="15" customHeight="1" x14ac:dyDescent="0.25">
      <c r="A29" s="3" t="s">
        <v>9</v>
      </c>
      <c r="B29" s="9"/>
      <c r="C29" s="4"/>
      <c r="D29" s="62"/>
      <c r="E29" s="62"/>
      <c r="F29" s="62"/>
      <c r="G29" s="62"/>
      <c r="H29" s="62"/>
      <c r="I29" s="62"/>
      <c r="J29" s="62"/>
      <c r="K29" s="62"/>
      <c r="L29" s="65"/>
    </row>
    <row r="30" spans="1:12" ht="15" customHeight="1" x14ac:dyDescent="0.25">
      <c r="A30" s="8"/>
      <c r="B30" s="12"/>
      <c r="C30" s="2" t="s">
        <v>2</v>
      </c>
      <c r="D30" s="57">
        <v>28.355176962244844</v>
      </c>
      <c r="E30" s="57">
        <v>27.515987623633805</v>
      </c>
      <c r="F30" s="57">
        <v>20.64266113986287</v>
      </c>
      <c r="G30" s="57">
        <v>22.761548904001867</v>
      </c>
      <c r="H30" s="56">
        <v>25.583453083058327</v>
      </c>
      <c r="I30" s="56">
        <v>27.399897217408896</v>
      </c>
      <c r="J30" s="56">
        <v>31.426940891237489</v>
      </c>
      <c r="K30" s="56">
        <v>27.095749352063127</v>
      </c>
      <c r="L30" s="56">
        <v>24.4846118125398</v>
      </c>
    </row>
    <row r="31" spans="1:12" ht="15" customHeight="1" x14ac:dyDescent="0.25">
      <c r="A31" s="19"/>
      <c r="B31" s="22"/>
      <c r="C31" s="2" t="s">
        <v>1</v>
      </c>
      <c r="D31" s="57">
        <v>-61.418577292359245</v>
      </c>
      <c r="E31" s="57">
        <v>-78.169126690290057</v>
      </c>
      <c r="F31" s="57">
        <v>-59.544247808395312</v>
      </c>
      <c r="G31" s="57">
        <v>-81.397416240982267</v>
      </c>
      <c r="H31" s="56">
        <v>-105.85226481343862</v>
      </c>
      <c r="I31" s="56">
        <v>-129.65257596647777</v>
      </c>
      <c r="J31" s="56">
        <v>-174.22458799196073</v>
      </c>
      <c r="K31" s="56">
        <v>-159.78128976199164</v>
      </c>
      <c r="L31" s="56">
        <v>-149.1238842238042</v>
      </c>
    </row>
    <row r="32" spans="1:12" ht="15" customHeight="1" x14ac:dyDescent="0.25">
      <c r="A32" s="3" t="s">
        <v>10</v>
      </c>
      <c r="B32" s="9"/>
      <c r="C32" s="4"/>
      <c r="D32" s="5"/>
      <c r="E32" s="5"/>
      <c r="F32" s="5"/>
      <c r="G32" s="5"/>
      <c r="H32" s="5"/>
      <c r="I32" s="5"/>
      <c r="J32" s="5"/>
      <c r="K32" s="5"/>
      <c r="L32" s="66"/>
    </row>
    <row r="33" spans="1:12" ht="15" customHeight="1" x14ac:dyDescent="0.25">
      <c r="A33" s="8"/>
      <c r="B33" s="12"/>
      <c r="C33" s="2" t="s">
        <v>2</v>
      </c>
      <c r="D33" s="57">
        <v>27.066763151706002</v>
      </c>
      <c r="E33" s="57">
        <v>25.934998122247404</v>
      </c>
      <c r="F33" s="57">
        <v>20.963473080540734</v>
      </c>
      <c r="G33" s="57">
        <v>23.430338901072673</v>
      </c>
      <c r="H33" s="56">
        <v>25.194979939874081</v>
      </c>
      <c r="I33" s="56">
        <v>24.282720322820097</v>
      </c>
      <c r="J33" s="56">
        <v>30.34030399893312</v>
      </c>
      <c r="K33" s="56">
        <v>27.547749788339086</v>
      </c>
      <c r="L33" s="56">
        <v>25.743569924076404</v>
      </c>
    </row>
    <row r="34" spans="1:12" ht="15" customHeight="1" x14ac:dyDescent="0.25">
      <c r="A34" s="19"/>
      <c r="B34" s="22"/>
      <c r="C34" s="2" t="s">
        <v>1</v>
      </c>
      <c r="D34" s="57">
        <v>-54.318220689952724</v>
      </c>
      <c r="E34" s="57">
        <v>-68.30705928938805</v>
      </c>
      <c r="F34" s="57">
        <v>-57.147745599404786</v>
      </c>
      <c r="G34" s="57">
        <v>-79.786989568492075</v>
      </c>
      <c r="H34" s="56">
        <v>-98.924870235880348</v>
      </c>
      <c r="I34" s="56">
        <v>-106.03625517373197</v>
      </c>
      <c r="J34" s="56">
        <v>-162.11909169021752</v>
      </c>
      <c r="K34" s="56">
        <v>-157.25164540276984</v>
      </c>
      <c r="L34" s="56">
        <v>-153.93405179055796</v>
      </c>
    </row>
    <row r="35" spans="1:12" ht="15" customHeight="1" x14ac:dyDescent="0.25">
      <c r="A35" s="3" t="s">
        <v>8</v>
      </c>
      <c r="B35" s="9"/>
      <c r="C35" s="4"/>
      <c r="D35" s="5"/>
      <c r="E35" s="5"/>
      <c r="F35" s="5"/>
      <c r="G35" s="5"/>
      <c r="H35" s="5"/>
      <c r="I35" s="5"/>
      <c r="J35" s="5"/>
      <c r="K35" s="5"/>
      <c r="L35" s="66"/>
    </row>
    <row r="36" spans="1:12" ht="15" customHeight="1" x14ac:dyDescent="0.25">
      <c r="A36" s="27"/>
      <c r="B36" s="17" t="s">
        <v>31</v>
      </c>
      <c r="C36" s="2" t="s">
        <v>2</v>
      </c>
      <c r="D36" s="56"/>
      <c r="E36" s="56">
        <v>14.18375619396649</v>
      </c>
      <c r="F36" s="56"/>
      <c r="G36" s="56">
        <v>13.289525281145664</v>
      </c>
      <c r="H36" s="56">
        <v>15.476993316435996</v>
      </c>
      <c r="I36" s="56">
        <v>14.810796835375019</v>
      </c>
      <c r="J36" s="56">
        <v>24.053025466840381</v>
      </c>
      <c r="K36" s="56">
        <v>21.800685121675233</v>
      </c>
      <c r="L36" s="56">
        <v>17.929153607320682</v>
      </c>
    </row>
    <row r="37" spans="1:12" ht="15" customHeight="1" x14ac:dyDescent="0.25">
      <c r="A37" s="27"/>
      <c r="B37" s="17"/>
      <c r="C37" s="2" t="s">
        <v>1</v>
      </c>
      <c r="D37" s="56"/>
      <c r="E37" s="56">
        <v>-26.532290728201076</v>
      </c>
      <c r="F37" s="56"/>
      <c r="G37" s="56">
        <v>-25.969918479055885</v>
      </c>
      <c r="H37" s="56">
        <v>-42.847740448777856</v>
      </c>
      <c r="I37" s="56">
        <v>-44.762107823868618</v>
      </c>
      <c r="J37" s="56">
        <v>-116.20784444493205</v>
      </c>
      <c r="K37" s="56">
        <v>-109.48853750503089</v>
      </c>
      <c r="L37" s="56">
        <v>-90.845805284821751</v>
      </c>
    </row>
    <row r="38" spans="1:12" ht="15" customHeight="1" x14ac:dyDescent="0.25">
      <c r="A38" s="27"/>
      <c r="B38" s="17" t="s">
        <v>32</v>
      </c>
      <c r="C38" s="2" t="s">
        <v>2</v>
      </c>
      <c r="D38" s="56">
        <v>13.029774804408685</v>
      </c>
      <c r="E38" s="56">
        <v>11.57555092119982</v>
      </c>
      <c r="F38" s="56">
        <v>9.3537657384072368</v>
      </c>
      <c r="G38" s="56">
        <v>16.013798246289308</v>
      </c>
      <c r="H38" s="56">
        <v>17.767867782672941</v>
      </c>
      <c r="I38" s="56">
        <v>20.466345669274006</v>
      </c>
      <c r="J38" s="56">
        <v>20.926207627930019</v>
      </c>
      <c r="K38" s="56">
        <v>23.734801931163048</v>
      </c>
      <c r="L38" s="56">
        <v>17.244758745440159</v>
      </c>
    </row>
    <row r="39" spans="1:12" ht="15" customHeight="1" x14ac:dyDescent="0.25">
      <c r="A39" s="27"/>
      <c r="B39" s="17"/>
      <c r="C39" s="2" t="s">
        <v>1</v>
      </c>
      <c r="D39" s="56">
        <v>-14.383922222898036</v>
      </c>
      <c r="E39" s="56">
        <v>-12.701756724691734</v>
      </c>
      <c r="F39" s="56">
        <v>-6.6186195996170341</v>
      </c>
      <c r="G39" s="56">
        <v>-40.904289968209739</v>
      </c>
      <c r="H39" s="56">
        <v>-57.173010031976972</v>
      </c>
      <c r="I39" s="56">
        <v>-81.471013727032698</v>
      </c>
      <c r="J39" s="56">
        <v>-99.161314804346688</v>
      </c>
      <c r="K39" s="56">
        <v>-126.83476662533818</v>
      </c>
      <c r="L39" s="56">
        <v>-86.200513466948834</v>
      </c>
    </row>
    <row r="40" spans="1:12" ht="15" customHeight="1" x14ac:dyDescent="0.25">
      <c r="A40" s="27"/>
      <c r="B40" s="17" t="s">
        <v>33</v>
      </c>
      <c r="C40" s="2" t="s">
        <v>2</v>
      </c>
      <c r="D40" s="56">
        <v>19.322628575348531</v>
      </c>
      <c r="E40" s="56">
        <v>26.215890964188691</v>
      </c>
      <c r="F40" s="56">
        <v>25.474544763209281</v>
      </c>
      <c r="G40" s="56">
        <v>30.150151126077166</v>
      </c>
      <c r="H40" s="56">
        <v>27.608623521790662</v>
      </c>
      <c r="I40" s="56">
        <v>23.18738319521395</v>
      </c>
      <c r="J40" s="56">
        <v>29.470147766115005</v>
      </c>
      <c r="K40" s="56">
        <v>28.521305269180441</v>
      </c>
      <c r="L40" s="56">
        <v>25.567172795917543</v>
      </c>
    </row>
    <row r="41" spans="1:12" ht="15" customHeight="1" x14ac:dyDescent="0.25">
      <c r="A41" s="27"/>
      <c r="B41" s="17"/>
      <c r="C41" s="2" t="s">
        <v>1</v>
      </c>
      <c r="D41" s="56">
        <v>-31.717049005072234</v>
      </c>
      <c r="E41" s="56">
        <v>-69.963929203443769</v>
      </c>
      <c r="F41" s="56">
        <v>-78.061410232737472</v>
      </c>
      <c r="G41" s="56">
        <v>-115.30121096640744</v>
      </c>
      <c r="H41" s="56">
        <v>-113.24654235561786</v>
      </c>
      <c r="I41" s="56">
        <v>-102.60437853919753</v>
      </c>
      <c r="J41" s="56">
        <v>-158.72832511381233</v>
      </c>
      <c r="K41" s="56">
        <v>-167.29480575954113</v>
      </c>
      <c r="L41" s="56">
        <v>-155.63023833080035</v>
      </c>
    </row>
    <row r="42" spans="1:12" ht="15" customHeight="1" x14ac:dyDescent="0.25">
      <c r="A42" s="27"/>
      <c r="B42" s="17" t="s">
        <v>34</v>
      </c>
      <c r="C42" s="2" t="s">
        <v>2</v>
      </c>
      <c r="D42" s="56">
        <v>34.108097208606992</v>
      </c>
      <c r="E42" s="56">
        <v>39.588799615166025</v>
      </c>
      <c r="F42" s="56">
        <v>38.465286387556688</v>
      </c>
      <c r="G42" s="56">
        <v>35.670989870177884</v>
      </c>
      <c r="H42" s="56">
        <v>39.146211041448268</v>
      </c>
      <c r="I42" s="56">
        <v>30.708405097594945</v>
      </c>
      <c r="J42" s="56">
        <v>41.403460269696566</v>
      </c>
      <c r="K42" s="56">
        <v>35.384434663230017</v>
      </c>
      <c r="L42" s="56">
        <v>35.869443458205389</v>
      </c>
    </row>
    <row r="43" spans="1:12" ht="15" customHeight="1" x14ac:dyDescent="0.25">
      <c r="A43" s="27"/>
      <c r="B43" s="17"/>
      <c r="C43" s="2" t="s">
        <v>1</v>
      </c>
      <c r="D43" s="56">
        <v>-80.665033541799502</v>
      </c>
      <c r="E43" s="56">
        <v>-127.992203529658</v>
      </c>
      <c r="F43" s="56">
        <v>-140.03875756354097</v>
      </c>
      <c r="G43" s="56">
        <v>-147.23180634480244</v>
      </c>
      <c r="H43" s="56">
        <v>-181.33878930017613</v>
      </c>
      <c r="I43" s="56">
        <v>-149.38823052780418</v>
      </c>
      <c r="J43" s="56">
        <v>-240.44697599422057</v>
      </c>
      <c r="K43" s="56">
        <v>-219.86620196336531</v>
      </c>
      <c r="L43" s="56">
        <v>-237.88396858568757</v>
      </c>
    </row>
    <row r="44" spans="1:12" ht="15" customHeight="1" x14ac:dyDescent="0.25">
      <c r="A44" s="27"/>
      <c r="B44" s="17" t="s">
        <v>35</v>
      </c>
      <c r="C44" s="2" t="s">
        <v>2</v>
      </c>
      <c r="D44" s="56">
        <v>39.402929837707156</v>
      </c>
      <c r="E44" s="56">
        <v>43.195984772534317</v>
      </c>
      <c r="F44" s="56">
        <v>44.933232808509281</v>
      </c>
      <c r="G44" s="56">
        <v>45.755163497536692</v>
      </c>
      <c r="H44" s="56">
        <v>45.288769720077873</v>
      </c>
      <c r="I44" s="56">
        <v>43.002342965630255</v>
      </c>
      <c r="J44" s="56">
        <v>54.4220968881882</v>
      </c>
      <c r="K44" s="56">
        <v>43.247642206515529</v>
      </c>
      <c r="L44" s="56">
        <v>46.784523039322849</v>
      </c>
    </row>
    <row r="45" spans="1:12" ht="15" customHeight="1" x14ac:dyDescent="0.25">
      <c r="A45" s="27"/>
      <c r="B45" s="17"/>
      <c r="C45" s="2" t="s">
        <v>1</v>
      </c>
      <c r="D45" s="56">
        <v>-104.93971557838529</v>
      </c>
      <c r="E45" s="56">
        <v>-151.64833994497602</v>
      </c>
      <c r="F45" s="56">
        <v>-177.18177183463735</v>
      </c>
      <c r="G45" s="56">
        <v>-204.89992949562065</v>
      </c>
      <c r="H45" s="56">
        <v>-220.70564690600594</v>
      </c>
      <c r="I45" s="56">
        <v>-228.72824084053741</v>
      </c>
      <c r="J45" s="56">
        <v>-332.07405996043457</v>
      </c>
      <c r="K45" s="56">
        <v>-280.79054634981031</v>
      </c>
      <c r="L45" s="56">
        <v>-325.22044302786492</v>
      </c>
    </row>
    <row r="46" spans="1:12" ht="15" customHeight="1" x14ac:dyDescent="0.25">
      <c r="A46" s="27"/>
      <c r="B46" s="17" t="s">
        <v>36</v>
      </c>
      <c r="C46" s="2" t="s">
        <v>2</v>
      </c>
      <c r="D46" s="56">
        <v>45.217784550519013</v>
      </c>
      <c r="E46" s="56"/>
      <c r="F46" s="56">
        <v>48.198218570408898</v>
      </c>
      <c r="G46" s="56">
        <v>56.975864516141051</v>
      </c>
      <c r="H46" s="56">
        <v>53.386311132673015</v>
      </c>
      <c r="I46" s="56">
        <v>51.421478369446426</v>
      </c>
      <c r="J46" s="56">
        <v>73.488500334968549</v>
      </c>
      <c r="K46" s="56">
        <v>52.4407563849024</v>
      </c>
      <c r="L46" s="56">
        <v>54.945054545359156</v>
      </c>
    </row>
    <row r="47" spans="1:12" ht="15" customHeight="1" x14ac:dyDescent="0.25">
      <c r="A47" s="27"/>
      <c r="B47" s="17"/>
      <c r="C47" s="2" t="s">
        <v>1</v>
      </c>
      <c r="D47" s="56">
        <v>-131.95115976503834</v>
      </c>
      <c r="E47" s="56"/>
      <c r="F47" s="56">
        <v>-198.156616150498</v>
      </c>
      <c r="G47" s="56">
        <v>-269.94215678149516</v>
      </c>
      <c r="H47" s="56">
        <v>-272.41161354941562</v>
      </c>
      <c r="I47" s="56">
        <v>-288.09094003338737</v>
      </c>
      <c r="J47" s="56">
        <v>-467.58103113828605</v>
      </c>
      <c r="K47" s="56">
        <v>-358.0110588010424</v>
      </c>
      <c r="L47" s="56">
        <v>-398.03400641686557</v>
      </c>
    </row>
    <row r="48" spans="1:12" ht="15" customHeight="1" x14ac:dyDescent="0.25">
      <c r="A48" s="27"/>
      <c r="B48" s="17" t="s">
        <v>37</v>
      </c>
      <c r="C48" s="2" t="s">
        <v>2</v>
      </c>
      <c r="D48" s="56"/>
      <c r="E48" s="56"/>
      <c r="F48" s="56"/>
      <c r="G48" s="56"/>
      <c r="H48" s="56"/>
      <c r="I48" s="56"/>
      <c r="J48" s="56"/>
      <c r="K48" s="56"/>
      <c r="L48" s="56">
        <v>3.5871827171719883</v>
      </c>
    </row>
    <row r="49" spans="1:12" ht="15" customHeight="1" x14ac:dyDescent="0.25">
      <c r="A49" s="28"/>
      <c r="B49" s="21"/>
      <c r="C49" s="2" t="s">
        <v>1</v>
      </c>
      <c r="D49" s="56"/>
      <c r="E49" s="56"/>
      <c r="F49" s="56"/>
      <c r="G49" s="56"/>
      <c r="H49" s="56"/>
      <c r="I49" s="56"/>
      <c r="J49" s="56"/>
      <c r="K49" s="56"/>
      <c r="L49" s="56">
        <v>-12.194012473115002</v>
      </c>
    </row>
    <row r="50" spans="1:12" x14ac:dyDescent="0.25">
      <c r="A50" t="s">
        <v>38</v>
      </c>
    </row>
  </sheetData>
  <sheetProtection algorithmName="SHA-512" hashValue="bLfwEgTXzEffX1zI2s/R8eIquMhRLc2WkAS3Weeqe2pmgKZ/e/wgtOUGzQ15e3n8MXST5aSiZVhw4Ra5h8jlDQ==" saltValue="Vlf1610m/6ET8pcEODWFGA==" spinCount="100000" sheet="1" objects="1" scenarios="1"/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O29"/>
  <sheetViews>
    <sheetView workbookViewId="0">
      <selection activeCell="D33" sqref="D33"/>
    </sheetView>
  </sheetViews>
  <sheetFormatPr defaultRowHeight="12" x14ac:dyDescent="0.2"/>
  <cols>
    <col min="1" max="1" width="9.140625" style="34"/>
    <col min="2" max="2" width="13.85546875" style="34" bestFit="1" customWidth="1"/>
    <col min="3" max="3" width="13.42578125" style="34" bestFit="1" customWidth="1"/>
    <col min="4" max="4" width="14.85546875" style="34" bestFit="1" customWidth="1"/>
    <col min="5" max="5" width="13.42578125" style="34" bestFit="1" customWidth="1"/>
    <col min="6" max="11" width="10.85546875" style="34" bestFit="1" customWidth="1"/>
    <col min="12" max="16384" width="9.140625" style="32"/>
  </cols>
  <sheetData>
    <row r="1" spans="1:15" x14ac:dyDescent="0.2">
      <c r="A1" s="34" t="s">
        <v>39</v>
      </c>
    </row>
    <row r="2" spans="1:15" x14ac:dyDescent="0.2">
      <c r="A2" s="36" t="str">
        <f>IF(ISBLANK(TechData!C1),"",TechData!C1)</f>
        <v>Type</v>
      </c>
      <c r="B2" s="35" t="e">
        <f>IF(ISBLANK(TechData!#REF!),"",TechData!#REF!)</f>
        <v>#REF!</v>
      </c>
      <c r="C2" s="35" t="str">
        <f>IF(ISBLANK(TechData!D1),"",TechData!D1)</f>
        <v>WS230</v>
      </c>
      <c r="D2" s="35" t="str">
        <f>IF(ISBLANK(TechData!E1),"",TechData!E1)</f>
        <v>WS230</v>
      </c>
      <c r="E2" s="35" t="str">
        <f>IF(ISBLANK(TechData!F1),"",TechData!F1)</f>
        <v>WS230</v>
      </c>
      <c r="F2" s="35" t="str">
        <f>IF(ISBLANK(TechData!G1),"",TechData!G1)</f>
        <v>WS230</v>
      </c>
      <c r="G2" s="35" t="str">
        <f>IF(ISBLANK(TechData!H1),"",TechData!H1)</f>
        <v>WS230</v>
      </c>
      <c r="H2" s="35" t="str">
        <f>IF(ISBLANK(TechData!I1),"",TechData!I1)</f>
        <v>WS230</v>
      </c>
      <c r="I2" s="35" t="str">
        <f>IF(ISBLANK(TechData!J1),"",TechData!J1)</f>
        <v>WS230</v>
      </c>
      <c r="J2" s="35" t="str">
        <f>IF(ISBLANK(TechData!K1),"",TechData!K1)</f>
        <v>WS230</v>
      </c>
      <c r="K2" s="35" t="str">
        <f>IF(ISBLANK(TechData!L1),"",TechData!L1)</f>
        <v>WS230</v>
      </c>
    </row>
    <row r="3" spans="1:15" x14ac:dyDescent="0.2">
      <c r="A3" s="36" t="str">
        <f>IF(ISBLANK(TechData!C2),"",TechData!C2)</f>
        <v>Nominal size</v>
      </c>
      <c r="B3" s="35" t="e">
        <f>IF(ISBLANK(TechData!#REF!),"",TechData!#REF!)</f>
        <v>#REF!</v>
      </c>
      <c r="C3" s="35">
        <f>IF(ISBLANK(TechData!D2),"",TechData!D2)</f>
        <v>80</v>
      </c>
      <c r="D3" s="35">
        <f>IF(ISBLANK(TechData!E2),"",TechData!E2)</f>
        <v>100</v>
      </c>
      <c r="E3" s="35">
        <f>IF(ISBLANK(TechData!F2),"",TechData!F2)</f>
        <v>125</v>
      </c>
      <c r="F3" s="35">
        <f>IF(ISBLANK(TechData!G2),"",TechData!G2)</f>
        <v>160</v>
      </c>
      <c r="G3" s="35">
        <f>IF(ISBLANK(TechData!H2),"",TechData!H2)</f>
        <v>200</v>
      </c>
      <c r="H3" s="35">
        <f>IF(ISBLANK(TechData!I2),"",TechData!I2)</f>
        <v>250</v>
      </c>
      <c r="I3" s="35">
        <f>IF(ISBLANK(TechData!J2),"",TechData!J2)</f>
        <v>315</v>
      </c>
      <c r="J3" s="35">
        <f>IF(ISBLANK(TechData!K2),"",TechData!K2)</f>
        <v>400</v>
      </c>
      <c r="K3" s="35">
        <f>IF(ISBLANK(TechData!L2),"",TechData!L2)</f>
        <v>500</v>
      </c>
      <c r="O3" s="33"/>
    </row>
    <row r="4" spans="1:15" x14ac:dyDescent="0.2">
      <c r="A4" s="36" t="str">
        <f>IF(ISBLANK(TechData!C3),"",TechData!C3)</f>
        <v>Plenum</v>
      </c>
      <c r="B4" s="35" t="e">
        <f>IF(ISBLANK(TechData!#REF!),"",TechData!#REF!)</f>
        <v>#REF!</v>
      </c>
      <c r="C4" s="35" t="str">
        <f>IF(ISBLANK(TechData!D3),"",TechData!D3)</f>
        <v>-</v>
      </c>
      <c r="D4" s="35" t="str">
        <f>IF(ISBLANK(TechData!E3),"",TechData!E3)</f>
        <v>-</v>
      </c>
      <c r="E4" s="35" t="str">
        <f>IF(ISBLANK(TechData!F3),"",TechData!F3)</f>
        <v>-</v>
      </c>
      <c r="F4" s="35" t="str">
        <f>IF(ISBLANK(TechData!G3),"",TechData!G3)</f>
        <v>-</v>
      </c>
      <c r="G4" s="35" t="str">
        <f>IF(ISBLANK(TechData!H3),"",TechData!H3)</f>
        <v>-</v>
      </c>
      <c r="H4" s="35" t="str">
        <f>IF(ISBLANK(TechData!I3),"",TechData!I3)</f>
        <v>-</v>
      </c>
      <c r="I4" s="35" t="str">
        <f>IF(ISBLANK(TechData!J3),"",TechData!J3)</f>
        <v>-</v>
      </c>
      <c r="J4" s="35" t="str">
        <f>IF(ISBLANK(TechData!K3),"",TechData!K3)</f>
        <v>-</v>
      </c>
      <c r="K4" s="35" t="str">
        <f>IF(ISBLANK(TechData!L3),"",TechData!L3)</f>
        <v>-</v>
      </c>
    </row>
    <row r="5" spans="1:15" x14ac:dyDescent="0.2">
      <c r="A5" s="36" t="str">
        <f>IF(ISBLANK(TechData!C4),"",TechData!C4)</f>
        <v/>
      </c>
      <c r="B5" s="35" t="e">
        <f>IF(ISBLANK(TechData!#REF!),"",TechData!#REF!)</f>
        <v>#REF!</v>
      </c>
      <c r="C5" s="35" t="str">
        <f>IF(ISBLANK(TechData!D4),"",TechData!D4)</f>
        <v/>
      </c>
      <c r="D5" s="35" t="str">
        <f>IF(ISBLANK(TechData!E4),"",TechData!E4)</f>
        <v/>
      </c>
      <c r="E5" s="35" t="str">
        <f>IF(ISBLANK(TechData!F4),"",TechData!F4)</f>
        <v/>
      </c>
      <c r="F5" s="35" t="str">
        <f>IF(ISBLANK(TechData!G4),"",TechData!G4)</f>
        <v/>
      </c>
      <c r="G5" s="35" t="str">
        <f>IF(ISBLANK(TechData!H4),"",TechData!H4)</f>
        <v/>
      </c>
      <c r="H5" s="35" t="str">
        <f>IF(ISBLANK(TechData!I4),"",TechData!I4)</f>
        <v/>
      </c>
      <c r="I5" s="35" t="str">
        <f>IF(ISBLANK(TechData!J4),"",TechData!J4)</f>
        <v/>
      </c>
      <c r="J5" s="35" t="str">
        <f>IF(ISBLANK(TechData!K4),"",TechData!K4)</f>
        <v/>
      </c>
      <c r="K5" s="35" t="str">
        <f>IF(ISBLANK(TechData!L4),"",TechData!L4)</f>
        <v/>
      </c>
    </row>
    <row r="6" spans="1:15" x14ac:dyDescent="0.2">
      <c r="A6" s="43" t="str">
        <f>IF(ISBLANK(TechData!C5),"",TechData!C5)</f>
        <v/>
      </c>
      <c r="B6" s="44" t="e">
        <f>IF(ISBLANK(TechData!#REF!),"",TechData!#REF!)</f>
        <v>#REF!</v>
      </c>
      <c r="C6" s="44" t="str">
        <f>IF(ISBLANK(TechData!D5),"",TechData!D5)</f>
        <v/>
      </c>
      <c r="D6" s="44" t="str">
        <f>IF(ISBLANK(TechData!E5),"",TechData!E5)</f>
        <v/>
      </c>
      <c r="E6" s="44" t="str">
        <f>IF(ISBLANK(TechData!F5),"",TechData!F5)</f>
        <v/>
      </c>
      <c r="F6" s="44" t="str">
        <f>IF(ISBLANK(TechData!G5),"",TechData!G5)</f>
        <v/>
      </c>
      <c r="G6" s="44" t="str">
        <f>IF(ISBLANK(TechData!H5),"",TechData!H5)</f>
        <v/>
      </c>
      <c r="H6" s="44" t="str">
        <f>IF(ISBLANK(TechData!I5),"",TechData!I5)</f>
        <v/>
      </c>
      <c r="I6" s="44" t="str">
        <f>IF(ISBLANK(TechData!J5),"",TechData!J5)</f>
        <v/>
      </c>
      <c r="J6" s="44" t="str">
        <f>IF(ISBLANK(TechData!K5),"",TechData!K5)</f>
        <v/>
      </c>
      <c r="K6" s="44" t="str">
        <f>IF(ISBLANK(TechData!L5),"",TechData!L5)</f>
        <v/>
      </c>
    </row>
    <row r="7" spans="1:15" ht="15" x14ac:dyDescent="0.25">
      <c r="A7" s="38" t="s">
        <v>2</v>
      </c>
    </row>
    <row r="8" spans="1:15" x14ac:dyDescent="0.2">
      <c r="A8" s="37" t="s">
        <v>40</v>
      </c>
    </row>
    <row r="9" spans="1:15" x14ac:dyDescent="0.2">
      <c r="A9" s="39">
        <v>4</v>
      </c>
      <c r="B9" s="40" t="e">
        <f>IF(ISBLANK(TechData!#REF!),"",TechData!#REF!)</f>
        <v>#REF!</v>
      </c>
      <c r="C9" s="40" t="str">
        <f>IF(ISBLANK(TechData!D15),"",TechData!D15)</f>
        <v/>
      </c>
      <c r="D9" s="40" t="str">
        <f>IF(ISBLANK(TechData!E15),"",TechData!E15)</f>
        <v/>
      </c>
      <c r="E9" s="40" t="str">
        <f>IF(ISBLANK(TechData!F15),"",TechData!F15)</f>
        <v/>
      </c>
      <c r="F9" s="40" t="str">
        <f>IF(ISBLANK(TechData!G15),"",TechData!G15)</f>
        <v/>
      </c>
      <c r="G9" s="40" t="str">
        <f>IF(ISBLANK(TechData!H15),"",TechData!H15)</f>
        <v/>
      </c>
      <c r="H9" s="40" t="str">
        <f>IF(ISBLANK(TechData!I15),"",TechData!I15)</f>
        <v/>
      </c>
      <c r="I9" s="40" t="str">
        <f>IF(ISBLANK(TechData!J15),"",TechData!J15)</f>
        <v/>
      </c>
      <c r="J9" s="40" t="str">
        <f>IF(ISBLANK(TechData!K15),"",TechData!K15)</f>
        <v/>
      </c>
      <c r="K9" s="40" t="str">
        <f>IF(ISBLANK(TechData!L15),"",TechData!L15)</f>
        <v/>
      </c>
    </row>
    <row r="10" spans="1:15" x14ac:dyDescent="0.2">
      <c r="A10" s="39">
        <v>6</v>
      </c>
      <c r="B10" s="40" t="e">
        <f>IF(ISBLANK(TechData!#REF!),"",TechData!#REF!)</f>
        <v>#REF!</v>
      </c>
      <c r="C10" s="40" t="str">
        <f>IF(ISBLANK(TechData!D17),"",TechData!D17)</f>
        <v/>
      </c>
      <c r="D10" s="40" t="str">
        <f>IF(ISBLANK(TechData!E17),"",TechData!E17)</f>
        <v/>
      </c>
      <c r="E10" s="40" t="str">
        <f>IF(ISBLANK(TechData!F17),"",TechData!F17)</f>
        <v/>
      </c>
      <c r="F10" s="40" t="str">
        <f>IF(ISBLANK(TechData!G17),"",TechData!G17)</f>
        <v/>
      </c>
      <c r="G10" s="40" t="str">
        <f>IF(ISBLANK(TechData!H17),"",TechData!H17)</f>
        <v/>
      </c>
      <c r="H10" s="40" t="str">
        <f>IF(ISBLANK(TechData!I17),"",TechData!I17)</f>
        <v/>
      </c>
      <c r="I10" s="40" t="str">
        <f>IF(ISBLANK(TechData!J17),"",TechData!J17)</f>
        <v/>
      </c>
      <c r="J10" s="40" t="str">
        <f>IF(ISBLANK(TechData!K17),"",TechData!K17)</f>
        <v/>
      </c>
      <c r="K10" s="40" t="str">
        <f>IF(ISBLANK(TechData!L17),"",TechData!L17)</f>
        <v/>
      </c>
    </row>
    <row r="11" spans="1:15" x14ac:dyDescent="0.2">
      <c r="A11" s="39">
        <v>8</v>
      </c>
      <c r="B11" s="40" t="e">
        <f>IF(ISBLANK(TechData!#REF!),"",TechData!#REF!)</f>
        <v>#REF!</v>
      </c>
      <c r="C11" s="40" t="str">
        <f>IF(ISBLANK(TechData!D19),"",TechData!D19)</f>
        <v/>
      </c>
      <c r="D11" s="40" t="str">
        <f>IF(ISBLANK(TechData!E19),"",TechData!E19)</f>
        <v/>
      </c>
      <c r="E11" s="40" t="str">
        <f>IF(ISBLANK(TechData!F19),"",TechData!F19)</f>
        <v/>
      </c>
      <c r="F11" s="40" t="str">
        <f>IF(ISBLANK(TechData!G19),"",TechData!G19)</f>
        <v/>
      </c>
      <c r="G11" s="40" t="str">
        <f>IF(ISBLANK(TechData!H19),"",TechData!H19)</f>
        <v/>
      </c>
      <c r="H11" s="40" t="str">
        <f>IF(ISBLANK(TechData!I19),"",TechData!I19)</f>
        <v/>
      </c>
      <c r="I11" s="40" t="str">
        <f>IF(ISBLANK(TechData!J19),"",TechData!J19)</f>
        <v/>
      </c>
      <c r="J11" s="40" t="str">
        <f>IF(ISBLANK(TechData!K19),"",TechData!K19)</f>
        <v/>
      </c>
      <c r="K11" s="40" t="str">
        <f>IF(ISBLANK(TechData!L19),"",TechData!L19)</f>
        <v/>
      </c>
    </row>
    <row r="12" spans="1:15" x14ac:dyDescent="0.2">
      <c r="A12" s="39">
        <v>10</v>
      </c>
      <c r="B12" s="40" t="e">
        <f>IF(ISBLANK(TechData!#REF!),"",TechData!#REF!)</f>
        <v>#REF!</v>
      </c>
      <c r="C12" s="40" t="str">
        <f>IF(ISBLANK(TechData!D21),"",TechData!D21)</f>
        <v/>
      </c>
      <c r="D12" s="40" t="str">
        <f>IF(ISBLANK(TechData!E21),"",TechData!E21)</f>
        <v/>
      </c>
      <c r="E12" s="40" t="str">
        <f>IF(ISBLANK(TechData!F21),"",TechData!F21)</f>
        <v/>
      </c>
      <c r="F12" s="40" t="str">
        <f>IF(ISBLANK(TechData!G21),"",TechData!G21)</f>
        <v/>
      </c>
      <c r="G12" s="40" t="str">
        <f>IF(ISBLANK(TechData!H21),"",TechData!H21)</f>
        <v/>
      </c>
      <c r="H12" s="40" t="str">
        <f>IF(ISBLANK(TechData!I21),"",TechData!I21)</f>
        <v/>
      </c>
      <c r="I12" s="40" t="str">
        <f>IF(ISBLANK(TechData!J21),"",TechData!J21)</f>
        <v/>
      </c>
      <c r="J12" s="40" t="str">
        <f>IF(ISBLANK(TechData!K21),"",TechData!K21)</f>
        <v/>
      </c>
      <c r="K12" s="40" t="str">
        <f>IF(ISBLANK(TechData!L21),"",TechData!L21)</f>
        <v/>
      </c>
    </row>
    <row r="13" spans="1:15" x14ac:dyDescent="0.2">
      <c r="A13" s="39">
        <v>12</v>
      </c>
      <c r="B13" s="40" t="e">
        <f>IF(ISBLANK(TechData!#REF!),"",TechData!#REF!)</f>
        <v>#REF!</v>
      </c>
      <c r="C13" s="40" t="str">
        <f>IF(ISBLANK(TechData!D23),"",TechData!D23)</f>
        <v/>
      </c>
      <c r="D13" s="40" t="str">
        <f>IF(ISBLANK(TechData!E23),"",TechData!E23)</f>
        <v/>
      </c>
      <c r="E13" s="40" t="str">
        <f>IF(ISBLANK(TechData!F23),"",TechData!F23)</f>
        <v/>
      </c>
      <c r="F13" s="40" t="str">
        <f>IF(ISBLANK(TechData!G23),"",TechData!G23)</f>
        <v/>
      </c>
      <c r="G13" s="40" t="str">
        <f>IF(ISBLANK(TechData!H23),"",TechData!H23)</f>
        <v/>
      </c>
      <c r="H13" s="40" t="str">
        <f>IF(ISBLANK(TechData!I23),"",TechData!I23)</f>
        <v/>
      </c>
      <c r="I13" s="40" t="str">
        <f>IF(ISBLANK(TechData!J23),"",TechData!J23)</f>
        <v/>
      </c>
      <c r="J13" s="40" t="str">
        <f>IF(ISBLANK(TechData!K23),"",TechData!K23)</f>
        <v/>
      </c>
      <c r="K13" s="40" t="str">
        <f>IF(ISBLANK(TechData!L23),"",TechData!L23)</f>
        <v/>
      </c>
    </row>
    <row r="14" spans="1:15" x14ac:dyDescent="0.2"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5" ht="15" x14ac:dyDescent="0.25">
      <c r="A15" s="38" t="s">
        <v>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5" x14ac:dyDescent="0.2">
      <c r="A16" s="39">
        <v>4</v>
      </c>
      <c r="B16" s="40" t="e">
        <f>IF(ISBLANK(TechData!#REF!),"",TechData!#REF!)</f>
        <v>#REF!</v>
      </c>
      <c r="C16" s="40" t="str">
        <f>IF(ISBLANK(TechData!D16),"",TechData!D16)</f>
        <v/>
      </c>
      <c r="D16" s="40" t="str">
        <f>IF(ISBLANK(TechData!E16),"",TechData!E16)</f>
        <v/>
      </c>
      <c r="E16" s="40" t="str">
        <f>IF(ISBLANK(TechData!F16),"",TechData!F16)</f>
        <v/>
      </c>
      <c r="F16" s="40" t="str">
        <f>IF(ISBLANK(TechData!G16),"",TechData!G16)</f>
        <v/>
      </c>
      <c r="G16" s="40" t="str">
        <f>IF(ISBLANK(TechData!H16),"",TechData!H16)</f>
        <v/>
      </c>
      <c r="H16" s="40" t="str">
        <f>IF(ISBLANK(TechData!I16),"",TechData!I16)</f>
        <v/>
      </c>
      <c r="I16" s="40" t="str">
        <f>IF(ISBLANK(TechData!J16),"",TechData!J16)</f>
        <v/>
      </c>
      <c r="J16" s="40" t="str">
        <f>IF(ISBLANK(TechData!K16),"",TechData!K16)</f>
        <v/>
      </c>
      <c r="K16" s="40" t="str">
        <f>IF(ISBLANK(TechData!L16),"",TechData!L16)</f>
        <v/>
      </c>
    </row>
    <row r="17" spans="1:11" x14ac:dyDescent="0.2">
      <c r="A17" s="39">
        <v>6</v>
      </c>
      <c r="B17" s="40" t="e">
        <f>IF(ISBLANK(TechData!#REF!),"",TechData!#REF!)</f>
        <v>#REF!</v>
      </c>
      <c r="C17" s="40" t="str">
        <f>IF(ISBLANK(TechData!D18),"",TechData!D18)</f>
        <v/>
      </c>
      <c r="D17" s="40" t="str">
        <f>IF(ISBLANK(TechData!E18),"",TechData!E18)</f>
        <v/>
      </c>
      <c r="E17" s="40" t="str">
        <f>IF(ISBLANK(TechData!F18),"",TechData!F18)</f>
        <v/>
      </c>
      <c r="F17" s="40" t="str">
        <f>IF(ISBLANK(TechData!G18),"",TechData!G18)</f>
        <v/>
      </c>
      <c r="G17" s="40" t="str">
        <f>IF(ISBLANK(TechData!H18),"",TechData!H18)</f>
        <v/>
      </c>
      <c r="H17" s="40" t="str">
        <f>IF(ISBLANK(TechData!I18),"",TechData!I18)</f>
        <v/>
      </c>
      <c r="I17" s="40" t="str">
        <f>IF(ISBLANK(TechData!J18),"",TechData!J18)</f>
        <v/>
      </c>
      <c r="J17" s="40" t="str">
        <f>IF(ISBLANK(TechData!K18),"",TechData!K18)</f>
        <v/>
      </c>
      <c r="K17" s="40" t="str">
        <f>IF(ISBLANK(TechData!L18),"",TechData!L18)</f>
        <v/>
      </c>
    </row>
    <row r="18" spans="1:11" x14ac:dyDescent="0.2">
      <c r="A18" s="39">
        <v>8</v>
      </c>
      <c r="B18" s="40" t="e">
        <f>IF(ISBLANK(TechData!#REF!),"",TechData!#REF!)</f>
        <v>#REF!</v>
      </c>
      <c r="C18" s="40" t="str">
        <f>IF(ISBLANK(TechData!D20),"",TechData!D20)</f>
        <v/>
      </c>
      <c r="D18" s="40" t="str">
        <f>IF(ISBLANK(TechData!E20),"",TechData!E20)</f>
        <v/>
      </c>
      <c r="E18" s="40" t="str">
        <f>IF(ISBLANK(TechData!F20),"",TechData!F20)</f>
        <v/>
      </c>
      <c r="F18" s="40" t="str">
        <f>IF(ISBLANK(TechData!G20),"",TechData!G20)</f>
        <v/>
      </c>
      <c r="G18" s="40" t="str">
        <f>IF(ISBLANK(TechData!H20),"",TechData!H20)</f>
        <v/>
      </c>
      <c r="H18" s="40" t="str">
        <f>IF(ISBLANK(TechData!I20),"",TechData!I20)</f>
        <v/>
      </c>
      <c r="I18" s="40" t="str">
        <f>IF(ISBLANK(TechData!J20),"",TechData!J20)</f>
        <v/>
      </c>
      <c r="J18" s="40" t="str">
        <f>IF(ISBLANK(TechData!K20),"",TechData!K20)</f>
        <v/>
      </c>
      <c r="K18" s="40" t="str">
        <f>IF(ISBLANK(TechData!L20),"",TechData!L20)</f>
        <v/>
      </c>
    </row>
    <row r="19" spans="1:11" x14ac:dyDescent="0.2">
      <c r="A19" s="39">
        <v>10</v>
      </c>
      <c r="B19" s="40" t="e">
        <f>IF(ISBLANK(TechData!#REF!),"",TechData!#REF!)</f>
        <v>#REF!</v>
      </c>
      <c r="C19" s="40" t="str">
        <f>IF(ISBLANK(TechData!D22),"",TechData!D22)</f>
        <v/>
      </c>
      <c r="D19" s="40" t="str">
        <f>IF(ISBLANK(TechData!E22),"",TechData!E22)</f>
        <v/>
      </c>
      <c r="E19" s="40" t="str">
        <f>IF(ISBLANK(TechData!F22),"",TechData!F22)</f>
        <v/>
      </c>
      <c r="F19" s="40" t="str">
        <f>IF(ISBLANK(TechData!G22),"",TechData!G22)</f>
        <v/>
      </c>
      <c r="G19" s="40" t="str">
        <f>IF(ISBLANK(TechData!H22),"",TechData!H22)</f>
        <v/>
      </c>
      <c r="H19" s="40" t="str">
        <f>IF(ISBLANK(TechData!I22),"",TechData!I22)</f>
        <v/>
      </c>
      <c r="I19" s="40" t="str">
        <f>IF(ISBLANK(TechData!J22),"",TechData!J22)</f>
        <v/>
      </c>
      <c r="J19" s="40" t="str">
        <f>IF(ISBLANK(TechData!K22),"",TechData!K22)</f>
        <v/>
      </c>
      <c r="K19" s="40" t="str">
        <f>IF(ISBLANK(TechData!L22),"",TechData!L22)</f>
        <v/>
      </c>
    </row>
    <row r="20" spans="1:11" x14ac:dyDescent="0.2">
      <c r="A20" s="39">
        <v>12</v>
      </c>
      <c r="B20" s="40" t="e">
        <f>IF(ISBLANK(TechData!#REF!),"",TechData!#REF!)</f>
        <v>#REF!</v>
      </c>
      <c r="C20" s="40" t="str">
        <f>IF(ISBLANK(TechData!D24),"",TechData!D24)</f>
        <v/>
      </c>
      <c r="D20" s="40" t="str">
        <f>IF(ISBLANK(TechData!E24),"",TechData!E24)</f>
        <v/>
      </c>
      <c r="E20" s="40" t="str">
        <f>IF(ISBLANK(TechData!F24),"",TechData!F24)</f>
        <v/>
      </c>
      <c r="F20" s="40" t="str">
        <f>IF(ISBLANK(TechData!G24),"",TechData!G24)</f>
        <v/>
      </c>
      <c r="G20" s="40" t="str">
        <f>IF(ISBLANK(TechData!H24),"",TechData!H24)</f>
        <v/>
      </c>
      <c r="H20" s="40" t="str">
        <f>IF(ISBLANK(TechData!I24),"",TechData!I24)</f>
        <v/>
      </c>
      <c r="I20" s="40" t="str">
        <f>IF(ISBLANK(TechData!J24),"",TechData!J24)</f>
        <v/>
      </c>
      <c r="J20" s="40" t="str">
        <f>IF(ISBLANK(TechData!K24),"",TechData!K24)</f>
        <v/>
      </c>
      <c r="K20" s="40" t="str">
        <f>IF(ISBLANK(TechData!L24),"",TechData!L24)</f>
        <v/>
      </c>
    </row>
    <row r="22" spans="1:11" x14ac:dyDescent="0.2">
      <c r="A22" s="42" t="s">
        <v>41</v>
      </c>
    </row>
    <row r="23" spans="1:11" x14ac:dyDescent="0.2">
      <c r="A23" s="39">
        <f>ABS(SelectionData!$C$5-SelectionData!$C$4)</f>
        <v>0</v>
      </c>
    </row>
    <row r="24" spans="1:11" x14ac:dyDescent="0.2">
      <c r="A24" s="39" t="s">
        <v>47</v>
      </c>
      <c r="B24" s="39" t="e">
        <f ca="1">IF(B9="","",IF($A$23&lt;4,4,IF($A$23&gt;12,10,OFFSET($A$9,MATCH($A$23,$A$9:$A$13)-1,0))))</f>
        <v>#REF!</v>
      </c>
      <c r="C24" s="39" t="str">
        <f t="shared" ref="C24:K24" ca="1" si="0">IF(C9="","",IF($A$23&lt;4,4,IF($A$23&gt;12,10,OFFSET($A$9,MATCH($A$23,$A$9:$A$13)-1,0))))</f>
        <v/>
      </c>
      <c r="D24" s="39" t="str">
        <f t="shared" ca="1" si="0"/>
        <v/>
      </c>
      <c r="E24" s="39" t="str">
        <f t="shared" ca="1" si="0"/>
        <v/>
      </c>
      <c r="F24" s="39" t="str">
        <f t="shared" ca="1" si="0"/>
        <v/>
      </c>
      <c r="G24" s="39" t="str">
        <f t="shared" ca="1" si="0"/>
        <v/>
      </c>
      <c r="H24" s="39" t="str">
        <f t="shared" ca="1" si="0"/>
        <v/>
      </c>
      <c r="I24" s="39" t="str">
        <f t="shared" ca="1" si="0"/>
        <v/>
      </c>
      <c r="J24" s="39" t="str">
        <f t="shared" ca="1" si="0"/>
        <v/>
      </c>
      <c r="K24" s="39" t="str">
        <f t="shared" ca="1" si="0"/>
        <v/>
      </c>
    </row>
    <row r="25" spans="1:11" x14ac:dyDescent="0.2">
      <c r="A25" s="39" t="s">
        <v>46</v>
      </c>
      <c r="B25" s="39" t="e">
        <f ca="1">IF(B9="","",IF($A$23&lt;4,6,IF($A$23&gt;12,12,OFFSET($A$9,MATCH($A$23,$A$9:$A$13),0))))</f>
        <v>#REF!</v>
      </c>
      <c r="C25" s="39" t="str">
        <f t="shared" ref="C25:K25" ca="1" si="1">IF(C9="","",IF($A$23&lt;4,6,IF($A$23&gt;12,12,OFFSET($A$9,MATCH($A$23,$A$9:$A$13),0))))</f>
        <v/>
      </c>
      <c r="D25" s="39" t="str">
        <f t="shared" ca="1" si="1"/>
        <v/>
      </c>
      <c r="E25" s="39" t="str">
        <f t="shared" ca="1" si="1"/>
        <v/>
      </c>
      <c r="F25" s="39" t="str">
        <f t="shared" ca="1" si="1"/>
        <v/>
      </c>
      <c r="G25" s="39" t="str">
        <f t="shared" ca="1" si="1"/>
        <v/>
      </c>
      <c r="H25" s="39" t="str">
        <f t="shared" ca="1" si="1"/>
        <v/>
      </c>
      <c r="I25" s="39" t="str">
        <f t="shared" ca="1" si="1"/>
        <v/>
      </c>
      <c r="J25" s="39" t="str">
        <f t="shared" ca="1" si="1"/>
        <v/>
      </c>
      <c r="K25" s="39" t="str">
        <f t="shared" ca="1" si="1"/>
        <v/>
      </c>
    </row>
    <row r="26" spans="1:11" x14ac:dyDescent="0.2">
      <c r="A26" s="39" t="s">
        <v>42</v>
      </c>
      <c r="B26" s="39" t="e">
        <f ca="1">IF(B9="","",IF($A$23&lt;4,B9,IF($A$23&gt;12,B12,OFFSET(B$9,MATCH($A$23,$A$9:$A$13)-1,0))))</f>
        <v>#REF!</v>
      </c>
      <c r="C26" s="39" t="str">
        <f t="shared" ref="C26:K26" ca="1" si="2">IF(C9="","",IF($A$23&lt;4,C9,IF($A$23&gt;12,C12,OFFSET(C$9,MATCH($A$23,$A$9:$A$13)-1,0))))</f>
        <v/>
      </c>
      <c r="D26" s="39" t="str">
        <f t="shared" ca="1" si="2"/>
        <v/>
      </c>
      <c r="E26" s="39" t="str">
        <f t="shared" ca="1" si="2"/>
        <v/>
      </c>
      <c r="F26" s="39" t="str">
        <f t="shared" ca="1" si="2"/>
        <v/>
      </c>
      <c r="G26" s="39" t="str">
        <f t="shared" ca="1" si="2"/>
        <v/>
      </c>
      <c r="H26" s="39" t="str">
        <f t="shared" ca="1" si="2"/>
        <v/>
      </c>
      <c r="I26" s="39" t="str">
        <f t="shared" ca="1" si="2"/>
        <v/>
      </c>
      <c r="J26" s="39" t="str">
        <f t="shared" ca="1" si="2"/>
        <v/>
      </c>
      <c r="K26" s="39" t="str">
        <f t="shared" ca="1" si="2"/>
        <v/>
      </c>
    </row>
    <row r="27" spans="1:11" x14ac:dyDescent="0.2">
      <c r="A27" s="39" t="s">
        <v>43</v>
      </c>
      <c r="B27" s="39" t="e">
        <f ca="1">IF(B9="","",IF($A$23&lt;4,B10,IF($A$23&gt;12,B13,OFFSET(B$9,MATCH($A$23,$A$9:$A$13),0))))</f>
        <v>#REF!</v>
      </c>
      <c r="C27" s="39" t="str">
        <f t="shared" ref="C27:K27" ca="1" si="3">IF(C9="","",IF($A$23&lt;4,C10,IF($A$23&gt;12,C13,OFFSET(C$9,MATCH($A$23,$A$9:$A$13),0))))</f>
        <v/>
      </c>
      <c r="D27" s="39" t="str">
        <f t="shared" ca="1" si="3"/>
        <v/>
      </c>
      <c r="E27" s="39" t="str">
        <f t="shared" ca="1" si="3"/>
        <v/>
      </c>
      <c r="F27" s="39" t="str">
        <f t="shared" ca="1" si="3"/>
        <v/>
      </c>
      <c r="G27" s="39" t="str">
        <f t="shared" ca="1" si="3"/>
        <v/>
      </c>
      <c r="H27" s="39" t="str">
        <f t="shared" ca="1" si="3"/>
        <v/>
      </c>
      <c r="I27" s="39" t="str">
        <f t="shared" ca="1" si="3"/>
        <v/>
      </c>
      <c r="J27" s="39" t="str">
        <f t="shared" ca="1" si="3"/>
        <v/>
      </c>
      <c r="K27" s="39" t="str">
        <f t="shared" ca="1" si="3"/>
        <v/>
      </c>
    </row>
    <row r="28" spans="1:11" x14ac:dyDescent="0.2">
      <c r="A28" s="39" t="s">
        <v>44</v>
      </c>
      <c r="B28" s="39" t="e">
        <f ca="1">IF(B16="","",IF($A$23&lt;4,B16,IF($A$23&gt;12,B19,OFFSET(B$16,MATCH($A$23,$A$16:$A$20)-1,0))))</f>
        <v>#REF!</v>
      </c>
      <c r="C28" s="39" t="str">
        <f t="shared" ref="C28:K28" ca="1" si="4">IF(C16="","",IF($A$23&lt;4,C16,IF($A$23&gt;12,C19,OFFSET(C$16,MATCH($A$23,$A$16:$A$20)-1,0))))</f>
        <v/>
      </c>
      <c r="D28" s="39" t="str">
        <f t="shared" ca="1" si="4"/>
        <v/>
      </c>
      <c r="E28" s="39" t="str">
        <f t="shared" ca="1" si="4"/>
        <v/>
      </c>
      <c r="F28" s="39" t="str">
        <f t="shared" ca="1" si="4"/>
        <v/>
      </c>
      <c r="G28" s="39" t="str">
        <f t="shared" ca="1" si="4"/>
        <v/>
      </c>
      <c r="H28" s="39" t="str">
        <f t="shared" ca="1" si="4"/>
        <v/>
      </c>
      <c r="I28" s="39" t="str">
        <f t="shared" ca="1" si="4"/>
        <v/>
      </c>
      <c r="J28" s="39" t="str">
        <f t="shared" ca="1" si="4"/>
        <v/>
      </c>
      <c r="K28" s="39" t="str">
        <f t="shared" ca="1" si="4"/>
        <v/>
      </c>
    </row>
    <row r="29" spans="1:11" x14ac:dyDescent="0.2">
      <c r="A29" s="39" t="s">
        <v>45</v>
      </c>
      <c r="B29" s="39" t="e">
        <f ca="1">IF(B16="","",IF($A$23&lt;4,B17,IF($A$23&gt;12,B20,OFFSET(B$16,MATCH($A$23,$A$16:$A$20),0))))</f>
        <v>#REF!</v>
      </c>
      <c r="C29" s="39" t="str">
        <f t="shared" ref="C29:K29" ca="1" si="5">IF(C16="","",IF($A$23&lt;4,C17,IF($A$23&gt;12,C20,OFFSET(C$16,MATCH($A$23,$A$16:$A$20),0))))</f>
        <v/>
      </c>
      <c r="D29" s="39" t="str">
        <f t="shared" ca="1" si="5"/>
        <v/>
      </c>
      <c r="E29" s="39" t="str">
        <f t="shared" ca="1" si="5"/>
        <v/>
      </c>
      <c r="F29" s="39" t="str">
        <f t="shared" ca="1" si="5"/>
        <v/>
      </c>
      <c r="G29" s="39" t="str">
        <f t="shared" ca="1" si="5"/>
        <v/>
      </c>
      <c r="H29" s="39" t="str">
        <f t="shared" ca="1" si="5"/>
        <v/>
      </c>
      <c r="I29" s="39" t="str">
        <f t="shared" ca="1" si="5"/>
        <v/>
      </c>
      <c r="J29" s="39" t="str">
        <f t="shared" ca="1" si="5"/>
        <v/>
      </c>
      <c r="K29" s="39" t="str">
        <f t="shared" ca="1" si="5"/>
        <v/>
      </c>
    </row>
  </sheetData>
  <sheetProtection algorithmName="SHA-512" hashValue="JZ2kaHj7zZ0A9kPPbUVqaW/44fMdy7vEfl1debfD/+M7cyBclpoYJ5bmAS3mHiziM6BTpKA4MmB4rY++1liRLg==" saltValue="8GP3LnPuHHOyen18rK/Nc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CD48654B54554390186499E0651E86" ma:contentTypeVersion="7" ma:contentTypeDescription="Een nieuw document maken." ma:contentTypeScope="" ma:versionID="14d4a6f57796a3024b0b0992b36ff9c2">
  <xsd:schema xmlns:xsd="http://www.w3.org/2001/XMLSchema" xmlns:xs="http://www.w3.org/2001/XMLSchema" xmlns:p="http://schemas.microsoft.com/office/2006/metadata/properties" xmlns:ns2="c7f60283-def7-45c8-be52-19224b596703" targetNamespace="http://schemas.microsoft.com/office/2006/metadata/properties" ma:root="true" ma:fieldsID="29bc19e29552a5ea9af527927a5bbe3e" ns2:_="">
    <xsd:import namespace="c7f60283-def7-45c8-be52-19224b5967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60283-def7-45c8-be52-19224b5967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06D602-4EED-46AB-97E1-DFC1D1820FB1}"/>
</file>

<file path=customXml/itemProps2.xml><?xml version="1.0" encoding="utf-8"?>
<ds:datastoreItem xmlns:ds="http://schemas.openxmlformats.org/officeDocument/2006/customXml" ds:itemID="{28B4181E-30E5-4791-AF2B-AD0E54709D7D}"/>
</file>

<file path=customXml/itemProps3.xml><?xml version="1.0" encoding="utf-8"?>
<ds:datastoreItem xmlns:ds="http://schemas.openxmlformats.org/officeDocument/2006/customXml" ds:itemID="{30FA9D2B-7A3B-46F8-93D2-7A39F9370E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SelectionData</vt:lpstr>
      <vt:lpstr>units</vt:lpstr>
      <vt:lpstr>TechData</vt:lpstr>
      <vt:lpstr>IntermediateCalcul</vt:lpstr>
      <vt:lpstr>units</vt:lpstr>
    </vt:vector>
  </TitlesOfParts>
  <Company>Grada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Keith Van de Wiele</cp:lastModifiedBy>
  <cp:lastPrinted>2015-11-20T12:25:03Z</cp:lastPrinted>
  <dcterms:created xsi:type="dcterms:W3CDTF">2015-05-07T08:41:20Z</dcterms:created>
  <dcterms:modified xsi:type="dcterms:W3CDTF">2021-10-19T07:58:37Z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0x010100F4CD48654B54554390186499E0651E86</vt:lpwstr>
  </property>
</Properties>
</file>