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WieleKe\Grada International NV\Grada Product Fiches - Documenten\02. Producten\02. Plafondroosters\MS\05. Selection Tools\"/>
    </mc:Choice>
  </mc:AlternateContent>
  <bookViews>
    <workbookView xWindow="0" yWindow="0" windowWidth="24000" windowHeight="9735"/>
  </bookViews>
  <sheets>
    <sheet name="SelectionData" sheetId="2" r:id="rId1"/>
    <sheet name="units" sheetId="4" state="hidden" r:id="rId2"/>
    <sheet name="TechData" sheetId="1" state="hidden" r:id="rId3"/>
    <sheet name="IntermediateCalcul" sheetId="3" state="hidden" r:id="rId4"/>
  </sheets>
  <externalReferences>
    <externalReference r:id="rId5"/>
    <externalReference r:id="rId6"/>
    <externalReference r:id="rId7"/>
  </externalReferences>
  <definedNames>
    <definedName name="units">units!$A$1:$A$2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K24" i="1" l="1"/>
  <c r="K23" i="1"/>
  <c r="K22" i="1"/>
  <c r="K21" i="1"/>
  <c r="K20" i="1"/>
  <c r="K19" i="1"/>
  <c r="K18" i="1"/>
  <c r="K17" i="1"/>
  <c r="K16" i="1"/>
  <c r="K15" i="1"/>
  <c r="G24" i="3" l="1"/>
  <c r="G29" i="3"/>
  <c r="E16" i="3"/>
  <c r="E29" i="3" s="1"/>
  <c r="G16" i="3"/>
  <c r="G28" i="3" s="1"/>
  <c r="H16" i="3"/>
  <c r="I16" i="3"/>
  <c r="J16" i="3"/>
  <c r="K16" i="3"/>
  <c r="K28" i="3" s="1"/>
  <c r="E17" i="3"/>
  <c r="G17" i="3"/>
  <c r="H17" i="3"/>
  <c r="I17" i="3"/>
  <c r="J17" i="3"/>
  <c r="K17" i="3"/>
  <c r="E18" i="3"/>
  <c r="G18" i="3"/>
  <c r="H18" i="3"/>
  <c r="I18" i="3"/>
  <c r="J18" i="3"/>
  <c r="K18" i="3"/>
  <c r="E19" i="3"/>
  <c r="G19" i="3"/>
  <c r="H19" i="3"/>
  <c r="I19" i="3"/>
  <c r="J19" i="3"/>
  <c r="K19" i="3"/>
  <c r="E20" i="3"/>
  <c r="G20" i="3"/>
  <c r="H20" i="3"/>
  <c r="I20" i="3"/>
  <c r="J20" i="3"/>
  <c r="K20" i="3"/>
  <c r="E9" i="3"/>
  <c r="E24" i="3" s="1"/>
  <c r="G9" i="3"/>
  <c r="G25" i="3" s="1"/>
  <c r="H9" i="3"/>
  <c r="I9" i="3"/>
  <c r="J9" i="3"/>
  <c r="K9" i="3"/>
  <c r="K24" i="3" s="1"/>
  <c r="E10" i="3"/>
  <c r="G10" i="3"/>
  <c r="H10" i="3"/>
  <c r="I10" i="3"/>
  <c r="J10" i="3"/>
  <c r="K10" i="3"/>
  <c r="E11" i="3"/>
  <c r="G11" i="3"/>
  <c r="H11" i="3"/>
  <c r="I11" i="3"/>
  <c r="J11" i="3"/>
  <c r="K11" i="3"/>
  <c r="E12" i="3"/>
  <c r="G12" i="3"/>
  <c r="H12" i="3"/>
  <c r="I12" i="3"/>
  <c r="J12" i="3"/>
  <c r="K12" i="3"/>
  <c r="E13" i="3"/>
  <c r="G13" i="3"/>
  <c r="H13" i="3"/>
  <c r="I13" i="3"/>
  <c r="J13" i="3"/>
  <c r="K13" i="3"/>
  <c r="F2" i="3"/>
  <c r="G2" i="3"/>
  <c r="H2" i="3"/>
  <c r="I2" i="3"/>
  <c r="J2" i="3"/>
  <c r="K2" i="3"/>
  <c r="F3" i="3"/>
  <c r="G3" i="3"/>
  <c r="H3" i="3"/>
  <c r="I3" i="3"/>
  <c r="J3" i="3"/>
  <c r="K3" i="3"/>
  <c r="F4" i="3"/>
  <c r="G4" i="3"/>
  <c r="H4" i="3"/>
  <c r="I4" i="3"/>
  <c r="J4" i="3"/>
  <c r="K4" i="3"/>
  <c r="F5" i="3"/>
  <c r="G5" i="3"/>
  <c r="H5" i="3"/>
  <c r="I5" i="3"/>
  <c r="J5" i="3"/>
  <c r="K5" i="3"/>
  <c r="F6" i="3"/>
  <c r="G6" i="3"/>
  <c r="H6" i="3"/>
  <c r="I6" i="3"/>
  <c r="J6" i="3"/>
  <c r="K6" i="3"/>
  <c r="F20" i="3"/>
  <c r="F13" i="3"/>
  <c r="F19" i="3"/>
  <c r="F12" i="3"/>
  <c r="F18" i="3"/>
  <c r="F11" i="3"/>
  <c r="F17" i="3"/>
  <c r="F10" i="3"/>
  <c r="F16" i="3"/>
  <c r="F9" i="3"/>
  <c r="G27" i="3" l="1"/>
  <c r="K27" i="3"/>
  <c r="K26" i="3"/>
  <c r="K29" i="3"/>
  <c r="G26" i="3"/>
  <c r="K25" i="3"/>
  <c r="E25" i="3"/>
  <c r="E26" i="3"/>
  <c r="E28" i="3"/>
  <c r="E27" i="3"/>
  <c r="E13" i="1"/>
  <c r="F13" i="1"/>
  <c r="H13" i="1"/>
  <c r="E14" i="2" s="1"/>
  <c r="J13" i="1"/>
  <c r="F14" i="2" s="1"/>
  <c r="K13" i="1"/>
  <c r="G14" i="2" s="1"/>
  <c r="L13" i="1"/>
  <c r="H14" i="2" s="1"/>
  <c r="E9" i="2"/>
  <c r="E16" i="2" s="1"/>
  <c r="F9" i="2"/>
  <c r="F18" i="2" s="1"/>
  <c r="G9" i="2"/>
  <c r="G18" i="2" s="1"/>
  <c r="H9" i="2"/>
  <c r="H17" i="2" s="1"/>
  <c r="E10" i="2"/>
  <c r="F10" i="2"/>
  <c r="G10" i="2"/>
  <c r="H10" i="2"/>
  <c r="E11" i="2"/>
  <c r="F11" i="2"/>
  <c r="G11" i="2"/>
  <c r="H11" i="2"/>
  <c r="E12" i="2"/>
  <c r="F12" i="2"/>
  <c r="G12" i="2"/>
  <c r="H12" i="2"/>
  <c r="E13" i="2"/>
  <c r="F13" i="2"/>
  <c r="G13" i="2"/>
  <c r="H13" i="2"/>
  <c r="E15" i="2"/>
  <c r="F15" i="2"/>
  <c r="G15" i="2"/>
  <c r="H15" i="2"/>
  <c r="E22" i="2"/>
  <c r="F17" i="2" l="1"/>
  <c r="F22" i="2"/>
  <c r="F21" i="2"/>
  <c r="F16" i="2"/>
  <c r="F20" i="2"/>
  <c r="H22" i="2"/>
  <c r="E21" i="2"/>
  <c r="E32" i="2" s="1"/>
  <c r="E18" i="2"/>
  <c r="G17" i="2"/>
  <c r="H16" i="2"/>
  <c r="H21" i="2"/>
  <c r="E20" i="2"/>
  <c r="G21" i="2"/>
  <c r="H20" i="2"/>
  <c r="H18" i="2"/>
  <c r="E17" i="2"/>
  <c r="G20" i="2"/>
  <c r="G16" i="2"/>
  <c r="G22" i="2"/>
  <c r="C17" i="3"/>
  <c r="D17" i="3"/>
  <c r="C18" i="3"/>
  <c r="D18" i="3"/>
  <c r="C19" i="3"/>
  <c r="D19" i="3"/>
  <c r="C20" i="3"/>
  <c r="D20" i="3"/>
  <c r="B20" i="3"/>
  <c r="B19" i="3"/>
  <c r="B18" i="3"/>
  <c r="B17" i="3"/>
  <c r="C16" i="3"/>
  <c r="D16" i="3"/>
  <c r="B16" i="3"/>
  <c r="C10" i="3"/>
  <c r="D10" i="3"/>
  <c r="C11" i="3"/>
  <c r="D11" i="3"/>
  <c r="C12" i="3"/>
  <c r="D12" i="3"/>
  <c r="C13" i="3"/>
  <c r="D13" i="3"/>
  <c r="B13" i="3"/>
  <c r="B12" i="3"/>
  <c r="B11" i="3"/>
  <c r="B10" i="3"/>
  <c r="C9" i="3"/>
  <c r="D9" i="3"/>
  <c r="B9" i="3"/>
  <c r="C2" i="3"/>
  <c r="D2" i="3"/>
  <c r="E2" i="3"/>
  <c r="C3" i="3"/>
  <c r="D3" i="3"/>
  <c r="E3" i="3"/>
  <c r="C4" i="3"/>
  <c r="D4" i="3"/>
  <c r="E4" i="3"/>
  <c r="C5" i="3"/>
  <c r="D5" i="3"/>
  <c r="E5" i="3"/>
  <c r="C6" i="3"/>
  <c r="D6" i="3"/>
  <c r="E6" i="3"/>
  <c r="B3" i="3"/>
  <c r="B4" i="3"/>
  <c r="B5" i="3"/>
  <c r="B6" i="3"/>
  <c r="B2" i="3"/>
  <c r="F30" i="2" l="1"/>
  <c r="E31" i="2"/>
  <c r="H29" i="2"/>
  <c r="F31" i="2"/>
  <c r="F32" i="2"/>
  <c r="H27" i="2"/>
  <c r="F28" i="2"/>
  <c r="F26" i="2"/>
  <c r="F29" i="2"/>
  <c r="E27" i="2"/>
  <c r="G26" i="2"/>
  <c r="F27" i="2"/>
  <c r="E30" i="2"/>
  <c r="H26" i="2"/>
  <c r="H31" i="2"/>
  <c r="H32" i="2"/>
  <c r="E29" i="2"/>
  <c r="H30" i="2"/>
  <c r="E26" i="2"/>
  <c r="H28" i="2"/>
  <c r="E28" i="2"/>
  <c r="G29" i="2"/>
  <c r="G30" i="2"/>
  <c r="G27" i="2"/>
  <c r="G31" i="2"/>
  <c r="G28" i="2"/>
  <c r="G32" i="2"/>
  <c r="D9" i="2" l="1"/>
  <c r="D17" i="2" s="1"/>
  <c r="D10" i="2"/>
  <c r="D11" i="2"/>
  <c r="D12" i="2"/>
  <c r="D13" i="2"/>
  <c r="D14" i="2"/>
  <c r="D15" i="2"/>
  <c r="D20" i="2" l="1"/>
  <c r="D16" i="2"/>
  <c r="D18" i="2"/>
  <c r="C14" i="2" l="1"/>
  <c r="C9" i="2" l="1"/>
  <c r="C10" i="2"/>
  <c r="C11" i="2"/>
  <c r="C12" i="2"/>
  <c r="C13" i="2"/>
  <c r="C15" i="2"/>
  <c r="C17" i="2" l="1"/>
  <c r="C21" i="2"/>
  <c r="C20" i="2"/>
  <c r="C16" i="2"/>
  <c r="C22" i="2"/>
  <c r="C18" i="2"/>
  <c r="B6" i="2"/>
  <c r="B21" i="2" s="1"/>
  <c r="C26" i="2" l="1"/>
  <c r="C31" i="2"/>
  <c r="C28" i="2"/>
  <c r="C27" i="2"/>
  <c r="C32" i="2"/>
  <c r="C30" i="2"/>
  <c r="C29" i="2"/>
  <c r="B22" i="2"/>
  <c r="A23" i="3" l="1"/>
  <c r="A3" i="3"/>
  <c r="A4" i="3"/>
  <c r="A5" i="3"/>
  <c r="A6" i="3"/>
  <c r="A2" i="3"/>
  <c r="J27" i="3" l="1"/>
  <c r="J29" i="3"/>
  <c r="I25" i="3"/>
  <c r="I29" i="3"/>
  <c r="I24" i="3"/>
  <c r="J28" i="3"/>
  <c r="J25" i="3"/>
  <c r="J24" i="3"/>
  <c r="I28" i="3"/>
  <c r="J26" i="3"/>
  <c r="I27" i="3"/>
  <c r="I26" i="3"/>
  <c r="H26" i="3"/>
  <c r="H25" i="3"/>
  <c r="F26" i="3"/>
  <c r="H27" i="3"/>
  <c r="H29" i="3"/>
  <c r="F25" i="3"/>
  <c r="H28" i="3"/>
  <c r="F27" i="3"/>
  <c r="H24" i="3"/>
  <c r="F24" i="3"/>
  <c r="F28" i="3"/>
  <c r="F29" i="3"/>
  <c r="B26" i="3"/>
  <c r="B25" i="3"/>
  <c r="B27" i="3"/>
  <c r="B29" i="3"/>
  <c r="B24" i="3"/>
  <c r="B28" i="3"/>
  <c r="C27" i="3"/>
  <c r="C26" i="3"/>
  <c r="C25" i="3"/>
  <c r="C24" i="3"/>
  <c r="C28" i="3"/>
  <c r="C29" i="3"/>
  <c r="D27" i="3"/>
  <c r="D26" i="3"/>
  <c r="D25" i="3"/>
  <c r="D24" i="3"/>
  <c r="D28" i="3"/>
  <c r="D29" i="3"/>
  <c r="G19" i="2" l="1"/>
  <c r="C19" i="2"/>
  <c r="F19" i="2"/>
  <c r="E19" i="2"/>
  <c r="H19" i="2"/>
  <c r="D19" i="2"/>
  <c r="D21" i="2"/>
  <c r="D22" i="2" l="1"/>
  <c r="D26" i="2" s="1"/>
  <c r="D32" i="2" l="1"/>
  <c r="D31" i="2"/>
  <c r="D30" i="2"/>
  <c r="D29" i="2"/>
  <c r="D27" i="2"/>
  <c r="D28" i="2"/>
</calcChain>
</file>

<file path=xl/sharedStrings.xml><?xml version="1.0" encoding="utf-8"?>
<sst xmlns="http://schemas.openxmlformats.org/spreadsheetml/2006/main" count="150" uniqueCount="73">
  <si>
    <t>THROW</t>
  </si>
  <si>
    <t>B</t>
  </si>
  <si>
    <t>A</t>
  </si>
  <si>
    <t>PRESSURE LOSS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</si>
  <si>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[m]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</si>
  <si>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k</t>
    </r>
    <r>
      <rPr>
        <b/>
        <sz val="11"/>
        <color theme="1"/>
        <rFont val="Calibri"/>
        <family val="2"/>
        <scheme val="minor"/>
      </rPr>
      <t xml:space="preserve"> [m²]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</si>
  <si>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[m]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</si>
  <si>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 xml:space="preserve">duct </t>
    </r>
    <r>
      <rPr>
        <b/>
        <sz val="11"/>
        <color theme="1"/>
        <rFont val="Calibri"/>
        <family val="2"/>
        <scheme val="minor"/>
      </rPr>
      <t xml:space="preserve"> [m²]</t>
    </r>
  </si>
  <si>
    <t>SOUND POWER SPECTRUM</t>
  </si>
  <si>
    <t>SOUND POWER, NR</t>
  </si>
  <si>
    <t>SOUND POWER, dB(A)</t>
  </si>
  <si>
    <t>Selection Table</t>
  </si>
  <si>
    <t>[m³/h]</t>
  </si>
  <si>
    <t>[m/s]</t>
  </si>
  <si>
    <t>[m]</t>
  </si>
  <si>
    <t>[Pa]</t>
  </si>
  <si>
    <t>Sound Spectrum</t>
  </si>
  <si>
    <t>[Hz]</t>
  </si>
  <si>
    <r>
      <t>&lt; BGL : L</t>
    </r>
    <r>
      <rPr>
        <vertAlign val="subscript"/>
        <sz val="8"/>
        <color theme="1"/>
        <rFont val="Calibri"/>
        <family val="2"/>
        <scheme val="minor"/>
      </rPr>
      <t>w</t>
    </r>
    <r>
      <rPr>
        <sz val="8"/>
        <color theme="1"/>
        <rFont val="Calibri"/>
        <family val="2"/>
        <scheme val="minor"/>
      </rPr>
      <t xml:space="preserve"> below background level</t>
    </r>
  </si>
  <si>
    <t>critical distance</t>
  </si>
  <si>
    <t>[°C]</t>
  </si>
  <si>
    <t>flow rate, Q</t>
  </si>
  <si>
    <t>TEMPERATURE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</si>
  <si>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[-]</t>
    </r>
  </si>
  <si>
    <t>Type</t>
  </si>
  <si>
    <t>Size</t>
  </si>
  <si>
    <r>
      <t xml:space="preserve">CRITICAL DISTANCE (function of </t>
    </r>
    <r>
      <rPr>
        <b/>
        <sz val="12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T)</t>
    </r>
  </si>
  <si>
    <t>at 4°C</t>
  </si>
  <si>
    <t>at 6°C</t>
  </si>
  <si>
    <t>at 8°C</t>
  </si>
  <si>
    <t>at 10°C</t>
  </si>
  <si>
    <t>at 12°C</t>
  </si>
  <si>
    <t>at 125 Hz</t>
  </si>
  <si>
    <t>at 250 Hz</t>
  </si>
  <si>
    <t>at 500 Hz</t>
  </si>
  <si>
    <t>at 1 kHz</t>
  </si>
  <si>
    <t>at 2 kHz</t>
  </si>
  <si>
    <t>at 4 kHz</t>
  </si>
  <si>
    <t>at 8 kHz</t>
  </si>
  <si>
    <t>END</t>
  </si>
  <si>
    <t>Critical distance</t>
  </si>
  <si>
    <t>dT</t>
  </si>
  <si>
    <t>dT requested</t>
  </si>
  <si>
    <t>A1</t>
  </si>
  <si>
    <t>A2</t>
  </si>
  <si>
    <t>B1</t>
  </si>
  <si>
    <t>B2</t>
  </si>
  <si>
    <t>dT2</t>
  </si>
  <si>
    <t>dT1</t>
  </si>
  <si>
    <r>
      <t>throw, L</t>
    </r>
    <r>
      <rPr>
        <vertAlign val="subscript"/>
        <sz val="10"/>
        <color theme="1"/>
        <rFont val="Calibri"/>
        <family val="2"/>
        <scheme val="minor"/>
      </rPr>
      <t>T</t>
    </r>
  </si>
  <si>
    <r>
      <t>supply temperature, T</t>
    </r>
    <r>
      <rPr>
        <vertAlign val="subscript"/>
        <sz val="10"/>
        <color theme="1"/>
        <rFont val="Calibri"/>
        <family val="2"/>
        <scheme val="minor"/>
      </rPr>
      <t>s</t>
    </r>
  </si>
  <si>
    <r>
      <t>room temperature, T</t>
    </r>
    <r>
      <rPr>
        <vertAlign val="subscript"/>
        <sz val="10"/>
        <color theme="1"/>
        <rFont val="Calibri"/>
        <family val="2"/>
        <scheme val="minor"/>
      </rPr>
      <t>r</t>
    </r>
  </si>
  <si>
    <r>
      <t xml:space="preserve">static pressure,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</rPr>
      <t>P</t>
    </r>
    <r>
      <rPr>
        <vertAlign val="subscript"/>
        <sz val="10"/>
        <color theme="1"/>
        <rFont val="Calibri"/>
        <family val="2"/>
      </rPr>
      <t>s</t>
    </r>
  </si>
  <si>
    <r>
      <t xml:space="preserve">total pressure,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</rPr>
      <t>P</t>
    </r>
    <r>
      <rPr>
        <vertAlign val="subscript"/>
        <sz val="10"/>
        <color theme="1"/>
        <rFont val="Calibri"/>
        <family val="2"/>
      </rPr>
      <t>tot</t>
    </r>
  </si>
  <si>
    <r>
      <t>throw velocity, v</t>
    </r>
    <r>
      <rPr>
        <vertAlign val="subscript"/>
        <sz val="10"/>
        <color theme="1"/>
        <rFont val="Calibri"/>
        <family val="2"/>
      </rPr>
      <t>T</t>
    </r>
    <r>
      <rPr>
        <sz val="10"/>
        <color theme="1"/>
        <rFont val="Calibri"/>
        <family val="2"/>
      </rPr>
      <t xml:space="preserve"> @ L</t>
    </r>
    <r>
      <rPr>
        <vertAlign val="subscript"/>
        <sz val="10"/>
        <color theme="1"/>
        <rFont val="Calibri"/>
        <family val="2"/>
      </rPr>
      <t>T</t>
    </r>
    <r>
      <rPr>
        <sz val="10"/>
        <color theme="1"/>
        <rFont val="Calibri"/>
        <family val="2"/>
      </rPr>
      <t xml:space="preserve"> </t>
    </r>
  </si>
  <si>
    <r>
      <t>sound power, L</t>
    </r>
    <r>
      <rPr>
        <vertAlign val="subscript"/>
        <sz val="10"/>
        <color theme="1"/>
        <rFont val="Calibri"/>
        <family val="2"/>
      </rPr>
      <t>w</t>
    </r>
  </si>
  <si>
    <r>
      <t>L</t>
    </r>
    <r>
      <rPr>
        <b/>
        <vertAlign val="subscript"/>
        <sz val="10"/>
        <color theme="1"/>
        <rFont val="Calibri"/>
        <family val="2"/>
      </rPr>
      <t>w</t>
    </r>
    <r>
      <rPr>
        <b/>
        <sz val="10"/>
        <color theme="1"/>
        <rFont val="Calibri"/>
        <family val="2"/>
      </rPr>
      <t xml:space="preserve"> [dB]</t>
    </r>
  </si>
  <si>
    <r>
      <t>duct air velocity, V</t>
    </r>
    <r>
      <rPr>
        <vertAlign val="subscript"/>
        <sz val="10"/>
        <color theme="1"/>
        <rFont val="Calibri"/>
        <family val="2"/>
      </rPr>
      <t>duct</t>
    </r>
  </si>
  <si>
    <r>
      <t>effective air velocity, V</t>
    </r>
    <r>
      <rPr>
        <vertAlign val="subscript"/>
        <sz val="10"/>
        <color theme="1"/>
        <rFont val="Calibri"/>
        <family val="2"/>
      </rPr>
      <t>eff</t>
    </r>
  </si>
  <si>
    <t>dB(A)</t>
  </si>
  <si>
    <t>NR</t>
  </si>
  <si>
    <t>room attenuation</t>
  </si>
  <si>
    <t>acoustics unit</t>
  </si>
  <si>
    <r>
      <t>sound pressure, L</t>
    </r>
    <r>
      <rPr>
        <vertAlign val="subscript"/>
        <sz val="10"/>
        <color theme="1"/>
        <rFont val="Calibri"/>
        <family val="2"/>
      </rPr>
      <t>p</t>
    </r>
  </si>
  <si>
    <r>
      <t>air temperature @ L</t>
    </r>
    <r>
      <rPr>
        <vertAlign val="subscript"/>
        <sz val="10"/>
        <color theme="1"/>
        <rFont val="Calibri"/>
        <family val="2"/>
      </rPr>
      <t xml:space="preserve">T </t>
    </r>
  </si>
  <si>
    <t/>
  </si>
  <si>
    <t>Plenum</t>
  </si>
  <si>
    <t>ø spigot</t>
  </si>
  <si>
    <t>MP200S</t>
  </si>
  <si>
    <t>MP210S</t>
  </si>
  <si>
    <t>MSS</t>
  </si>
  <si>
    <t>MSH</t>
  </si>
  <si>
    <t># nozzles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</si>
</sst>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0000"/>
    <numFmt numFmtId="166" formatCode="0.0"/>
    <numFmt numFmtId="167" formatCode="0.00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8"/>
      <color theme="1"/>
      <name val="Calibri"/>
      <family val="2"/>
      <scheme val="minor"/>
    </font>
    <font>
      <b/>
      <sz val="12"/>
      <color theme="1"/>
      <name val="Symbol"/>
      <family val="1"/>
      <charset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Symbol"/>
      <family val="1"/>
      <charset val="2"/>
    </font>
    <font>
      <vertAlign val="subscript"/>
      <sz val="10"/>
      <color theme="1"/>
      <name val="Calibri"/>
      <family val="2"/>
    </font>
    <font>
      <b/>
      <sz val="10"/>
      <color theme="1"/>
      <name val="Calibri"/>
      <family val="2"/>
    </font>
    <font>
      <b/>
      <vertAlign val="subscript"/>
      <sz val="10"/>
      <color theme="1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2" xfId="0" applyFont="1" applyFill="1" applyBorder="1"/>
    <xf numFmtId="0" fontId="1" fillId="2" borderId="3" xfId="0" applyFont="1" applyFill="1" applyBorder="1"/>
    <xf numFmtId="164" fontId="0" fillId="2" borderId="3" xfId="0" applyNumberForma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2" borderId="6" xfId="0" applyFill="1" applyBorder="1"/>
    <xf numFmtId="0" fontId="1" fillId="2" borderId="7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7" xfId="0" applyFill="1" applyBorder="1"/>
    <xf numFmtId="0" fontId="1" fillId="2" borderId="9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0" fillId="2" borderId="10" xfId="0" applyFill="1" applyBorder="1"/>
    <xf numFmtId="0" fontId="0" fillId="2" borderId="11" xfId="0" applyFill="1" applyBorder="1"/>
    <xf numFmtId="0" fontId="1" fillId="2" borderId="12" xfId="0" applyFont="1" applyFill="1" applyBorder="1" applyAlignment="1">
      <alignment horizontal="right"/>
    </xf>
    <xf numFmtId="0" fontId="0" fillId="2" borderId="12" xfId="0" applyFill="1" applyBorder="1"/>
    <xf numFmtId="0" fontId="1" fillId="2" borderId="10" xfId="0" applyFont="1" applyFill="1" applyBorder="1"/>
    <xf numFmtId="0" fontId="1" fillId="2" borderId="12" xfId="0" applyFont="1" applyFill="1" applyBorder="1"/>
    <xf numFmtId="0" fontId="7" fillId="2" borderId="6" xfId="0" applyFont="1" applyFill="1" applyBorder="1" applyAlignment="1">
      <alignment horizontal="right"/>
    </xf>
    <xf numFmtId="0" fontId="7" fillId="2" borderId="8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5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/>
    <xf numFmtId="0" fontId="9" fillId="0" borderId="1" xfId="0" applyFont="1" applyBorder="1"/>
    <xf numFmtId="164" fontId="9" fillId="2" borderId="4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2" fillId="0" borderId="0" xfId="0" applyFont="1"/>
    <xf numFmtId="0" fontId="10" fillId="0" borderId="0" xfId="0" applyFont="1" applyAlignment="1">
      <alignment horizontal="center"/>
    </xf>
    <xf numFmtId="0" fontId="11" fillId="2" borderId="9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167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9" fillId="0" borderId="0" xfId="0" applyFont="1"/>
    <xf numFmtId="0" fontId="8" fillId="2" borderId="1" xfId="0" applyFont="1" applyFill="1" applyBorder="1"/>
    <xf numFmtId="0" fontId="14" fillId="2" borderId="1" xfId="0" applyFont="1" applyFill="1" applyBorder="1"/>
    <xf numFmtId="1" fontId="9" fillId="0" borderId="1" xfId="0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0" fontId="8" fillId="0" borderId="0" xfId="0" applyFont="1"/>
    <xf numFmtId="0" fontId="1" fillId="2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3" borderId="1" xfId="0" applyFont="1" applyFill="1" applyBorder="1" applyAlignment="1" applyProtection="1">
      <alignment horizontal="center"/>
      <protection locked="0"/>
    </xf>
    <xf numFmtId="0" fontId="17" fillId="2" borderId="1" xfId="0" applyFont="1" applyFill="1" applyBorder="1"/>
    <xf numFmtId="166" fontId="9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7" fontId="21" fillId="0" borderId="1" xfId="0" applyNumberFormat="1" applyFont="1" applyFill="1" applyBorder="1" applyAlignment="1">
      <alignment horizontal="center" vertical="center"/>
    </xf>
    <xf numFmtId="167" fontId="20" fillId="0" borderId="1" xfId="0" applyNumberFormat="1" applyFont="1" applyFill="1" applyBorder="1" applyAlignment="1">
      <alignment horizontal="center" vertical="center"/>
    </xf>
  </cellXfs>
  <cellStyles count="1">
    <cellStyle name="Standaard" xfId="0" builtinId="0"/>
  </cellStyles>
  <dxfs count="7">
    <dxf>
      <fill>
        <patternFill>
          <bgColor rgb="FFFBAC8D"/>
        </patternFill>
      </fill>
    </dxf>
    <dxf>
      <fill>
        <patternFill>
          <bgColor rgb="FFFBAC8D"/>
        </patternFill>
      </fill>
    </dxf>
    <dxf>
      <fill>
        <patternFill>
          <bgColor rgb="FFFBAC8D"/>
        </patternFill>
      </fill>
    </dxf>
    <dxf>
      <fill>
        <patternFill>
          <bgColor rgb="FFFBAC8D"/>
        </patternFill>
      </fill>
    </dxf>
    <dxf>
      <fill>
        <patternFill>
          <bgColor rgb="FFFBAC8D"/>
        </patternFill>
      </fill>
    </dxf>
    <dxf>
      <fill>
        <patternFill>
          <bgColor rgb="FFFBAC8D"/>
        </patternFill>
      </fill>
    </dxf>
    <dxf>
      <fill>
        <patternFill>
          <bgColor rgb="FFFBAC8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761999</xdr:colOff>
      <xdr:row>1</xdr:row>
      <xdr:rowOff>74545</xdr:rowOff>
    </xdr:from>
    <xdr:to>
      <xdr:col>8</xdr:col>
      <xdr:colOff>508551</xdr:colOff>
      <xdr:row>6</xdr:row>
      <xdr:rowOff>131159</xdr:rowOff>
    </xdr:to>
    <xdr:pic>
      <xdr:nvPicPr>
        <xdr:cNvPr id="3" name="Afbeelding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1882" b="40471"/>
        <a:stretch/>
      </xdr:blipFill>
      <xdr:spPr>
        <a:xfrm>
          <a:off x="3255064" y="339588"/>
          <a:ext cx="5295900" cy="9345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9526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32670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3367928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9" name="Afbeelding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3367928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6259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10" name="Afbeelding 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11" name="Afbeelding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26" name="Afbeelding 2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27" name="Afbeelding 2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28" name="Afbeelding 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29" name="Afbeelding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30" name="Afbeelding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31" name="Afbeelding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32" name="Afbeelding 3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33" name="Afbeelding 3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34" name="Afbeelding 3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10</xdr:row>
      <xdr:rowOff>123825</xdr:rowOff>
    </xdr:from>
    <xdr:to>
      <xdr:col>0</xdr:col>
      <xdr:colOff>638100</xdr:colOff>
      <xdr:row>11</xdr:row>
      <xdr:rowOff>76182</xdr:rowOff>
    </xdr:to>
    <xdr:pic>
      <xdr:nvPicPr>
        <xdr:cNvPr id="35" name="Afbeelding 3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14</xdr:row>
      <xdr:rowOff>95250</xdr:rowOff>
    </xdr:from>
    <xdr:to>
      <xdr:col>0</xdr:col>
      <xdr:colOff>1228575</xdr:colOff>
      <xdr:row>15</xdr:row>
      <xdr:rowOff>38083</xdr:rowOff>
    </xdr:to>
    <xdr:pic>
      <xdr:nvPicPr>
        <xdr:cNvPr id="36" name="Afbeelding 3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35</xdr:row>
      <xdr:rowOff>66675</xdr:rowOff>
    </xdr:from>
    <xdr:to>
      <xdr:col>0</xdr:col>
      <xdr:colOff>790575</xdr:colOff>
      <xdr:row>36</xdr:row>
      <xdr:rowOff>122306</xdr:rowOff>
    </xdr:to>
    <xdr:pic>
      <xdr:nvPicPr>
        <xdr:cNvPr id="37" name="Afbeelding 3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28</xdr:row>
      <xdr:rowOff>185457</xdr:rowOff>
    </xdr:from>
    <xdr:to>
      <xdr:col>0</xdr:col>
      <xdr:colOff>812987</xdr:colOff>
      <xdr:row>30</xdr:row>
      <xdr:rowOff>50588</xdr:rowOff>
    </xdr:to>
    <xdr:pic>
      <xdr:nvPicPr>
        <xdr:cNvPr id="38" name="Afbeelding 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31</xdr:row>
      <xdr:rowOff>185457</xdr:rowOff>
    </xdr:from>
    <xdr:ext cx="771525" cy="246131"/>
    <xdr:pic>
      <xdr:nvPicPr>
        <xdr:cNvPr id="39" name="Afbeelding 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6</xdr:row>
      <xdr:rowOff>54427</xdr:rowOff>
    </xdr:from>
    <xdr:to>
      <xdr:col>0</xdr:col>
      <xdr:colOff>1130860</xdr:colOff>
      <xdr:row>8</xdr:row>
      <xdr:rowOff>21678</xdr:rowOff>
    </xdr:to>
    <xdr:pic>
      <xdr:nvPicPr>
        <xdr:cNvPr id="40" name="Afbeelding 3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25</xdr:row>
      <xdr:rowOff>47625</xdr:rowOff>
    </xdr:from>
    <xdr:to>
      <xdr:col>0</xdr:col>
      <xdr:colOff>885718</xdr:colOff>
      <xdr:row>27</xdr:row>
      <xdr:rowOff>38054</xdr:rowOff>
    </xdr:to>
    <xdr:pic>
      <xdr:nvPicPr>
        <xdr:cNvPr id="41" name="Afbeelding 4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ojects\292_Multinozzle%20MS50%20op%20MP100\Metingen\MSH%20594%20250%2081\MSH50%20594%20250%208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001\RDS-HomeDrives\Projects\292_Multinozzle%20MS50%20op%20MP100\MSS50%20394%20125%2016\MSS50%20394%20125%201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&amp;D\Producten\3%20%20Wervelroosters\WT100S%20-%20WT100T%20-%20WT500S\Meting_WT101S_200-494_24schoepen_ExternalSwirl_v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 Opvolgblad"/>
      <sheetName val="2) Ps~Q"/>
      <sheetName val="3) Geluidsmeting_manual"/>
      <sheetName val="3bis) Geluidsanalyse_manual"/>
      <sheetName val="4) Geluidsmeting_SoundLab"/>
      <sheetName val="4bis) Geluidsanalyse_SoundLab"/>
      <sheetName val="5) Worpmetingstabel"/>
      <sheetName val="6) Kritische afstand"/>
      <sheetName val="7) Temperatuurprofiel"/>
      <sheetName val="8) Data grafieken"/>
      <sheetName val="meetflens dia 80"/>
      <sheetName val="meetbuis 100-80"/>
      <sheetName val="meetbuis 100"/>
      <sheetName val="meetbuis 125"/>
      <sheetName val="meetbuis 160"/>
      <sheetName val="meetbuis 200"/>
      <sheetName val="meetbuis 250"/>
      <sheetName val="meetbuis 315"/>
      <sheetName val="meetbuis 4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M8">
            <v>1.2612805869975887</v>
          </cell>
          <cell r="N8">
            <v>0.30032071352615536</v>
          </cell>
          <cell r="O8">
            <v>2.6300681552528897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 Opvolgblad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 Opvolgblad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33"/>
  <sheetViews>
    <sheetView showGridLines="0" tabSelected="1" zoomScale="115" zoomScaleNormal="115" workbookViewId="0">
      <selection activeCell="C2" sqref="C2"/>
    </sheetView>
  </sheetViews>
  <sheetFormatPr defaultRowHeight="15" x14ac:dyDescent="0.25"/>
  <cols>
    <col min="1" max="1" width="26.5703125" customWidth="1"/>
    <col min="2" max="2" width="10.85546875" bestFit="1" customWidth="1"/>
    <col min="3" max="6" width="14" customWidth="1"/>
    <col min="7" max="8" width="13.5703125" customWidth="1"/>
    <col min="9" max="9" width="14" customWidth="1"/>
  </cols>
  <sheetData>
    <row r="1" spans="1:8" ht="21" x14ac:dyDescent="0.35">
      <c r="A1" s="6" t="s">
        <v>11</v>
      </c>
    </row>
    <row r="2" spans="1:8" s="56" customFormat="1" ht="12.75" x14ac:dyDescent="0.2">
      <c r="A2" s="54" t="s">
        <v>21</v>
      </c>
      <c r="B2" s="55" t="s">
        <v>12</v>
      </c>
      <c r="C2" s="68">
        <v>450</v>
      </c>
    </row>
    <row r="3" spans="1:8" s="56" customFormat="1" ht="14.25" x14ac:dyDescent="0.25">
      <c r="A3" s="54" t="s">
        <v>49</v>
      </c>
      <c r="B3" s="55" t="s">
        <v>14</v>
      </c>
      <c r="C3" s="68">
        <v>8</v>
      </c>
    </row>
    <row r="4" spans="1:8" s="56" customFormat="1" ht="14.25" x14ac:dyDescent="0.25">
      <c r="A4" s="54" t="s">
        <v>50</v>
      </c>
      <c r="B4" s="55" t="s">
        <v>20</v>
      </c>
      <c r="C4" s="68">
        <v>20</v>
      </c>
    </row>
    <row r="5" spans="1:8" s="56" customFormat="1" ht="14.25" x14ac:dyDescent="0.25">
      <c r="A5" s="54" t="s">
        <v>51</v>
      </c>
      <c r="B5" s="55" t="s">
        <v>20</v>
      </c>
      <c r="C5" s="68">
        <v>26</v>
      </c>
    </row>
    <row r="6" spans="1:8" s="56" customFormat="1" ht="12.75" x14ac:dyDescent="0.2">
      <c r="A6" s="54" t="s">
        <v>61</v>
      </c>
      <c r="B6" s="55" t="str">
        <f>CONCATENATE("[",C7,"]")</f>
        <v>[dB(A)]</v>
      </c>
      <c r="C6" s="68">
        <v>10</v>
      </c>
    </row>
    <row r="7" spans="1:8" s="56" customFormat="1" ht="12.75" x14ac:dyDescent="0.2">
      <c r="A7" s="54" t="s">
        <v>62</v>
      </c>
      <c r="B7" s="55"/>
      <c r="C7" s="68" t="s">
        <v>59</v>
      </c>
    </row>
    <row r="8" spans="1:8" s="56" customFormat="1" ht="12.75" x14ac:dyDescent="0.2"/>
    <row r="9" spans="1:8" s="56" customFormat="1" ht="12.75" x14ac:dyDescent="0.2">
      <c r="B9" s="57" t="s">
        <v>24</v>
      </c>
      <c r="C9" s="29" t="str">
        <f>IF(ISBLANK(TechData!D1),"",TechData!D1)</f>
        <v>MSS</v>
      </c>
      <c r="D9" s="29" t="str">
        <f>IF(ISBLANK(TechData!F1),"",TechData!F1)</f>
        <v>MSS</v>
      </c>
      <c r="E9" s="29" t="str">
        <f>IF(ISBLANK(TechData!H1),"",TechData!H1)</f>
        <v>MSS</v>
      </c>
      <c r="F9" s="29" t="str">
        <f>IF(ISBLANK(TechData!J1),"",TechData!J1)</f>
        <v>MSS</v>
      </c>
      <c r="G9" s="29" t="str">
        <f>IF(ISBLANK(TechData!K1),"",TechData!K1)</f>
        <v>MSH</v>
      </c>
      <c r="H9" s="29" t="str">
        <f>IF(ISBLANK(TechData!L1),"",TechData!L1)</f>
        <v>MSH</v>
      </c>
    </row>
    <row r="10" spans="1:8" s="56" customFormat="1" ht="12.75" x14ac:dyDescent="0.2">
      <c r="B10" s="69" t="s">
        <v>25</v>
      </c>
      <c r="C10" s="29">
        <f>IF(ISBLANK(TechData!D2),"",TechData!D2)</f>
        <v>294</v>
      </c>
      <c r="D10" s="29">
        <f>IF(ISBLANK(TechData!F2),"",TechData!F2)</f>
        <v>394</v>
      </c>
      <c r="E10" s="29">
        <f>IF(ISBLANK(TechData!H2),"",TechData!H2)</f>
        <v>494</v>
      </c>
      <c r="F10" s="29">
        <f>IF(ISBLANK(TechData!J2),"",TechData!J2)</f>
        <v>594</v>
      </c>
      <c r="G10" s="29">
        <f>IF(ISBLANK(TechData!K2),"",TechData!K2)</f>
        <v>594</v>
      </c>
      <c r="H10" s="29">
        <f>IF(ISBLANK(TechData!L2),"",TechData!L2)</f>
        <v>594</v>
      </c>
    </row>
    <row r="11" spans="1:8" s="56" customFormat="1" ht="12.75" x14ac:dyDescent="0.2">
      <c r="B11" s="57" t="s">
        <v>66</v>
      </c>
      <c r="C11" s="29" t="str">
        <f>IF(ISBLANK(TechData!D3),"",TechData!D3)</f>
        <v>MP200S</v>
      </c>
      <c r="D11" s="29" t="str">
        <f>IF(ISBLANK(TechData!F3),"",TechData!F3)</f>
        <v>MP200S</v>
      </c>
      <c r="E11" s="29" t="str">
        <f>IF(ISBLANK(TechData!H3),"",TechData!H3)</f>
        <v>MP200S</v>
      </c>
      <c r="F11" s="29" t="str">
        <f>IF(ISBLANK(TechData!J3),"",TechData!J3)</f>
        <v>MP200S</v>
      </c>
      <c r="G11" s="29" t="str">
        <f>IF(ISBLANK(TechData!K3),"",TechData!K3)</f>
        <v>MP210S</v>
      </c>
      <c r="H11" s="29" t="str">
        <f>IF(ISBLANK(TechData!L3),"",TechData!L3)</f>
        <v>MP210S</v>
      </c>
    </row>
    <row r="12" spans="1:8" s="56" customFormat="1" ht="12.75" x14ac:dyDescent="0.2">
      <c r="B12" s="57" t="s">
        <v>67</v>
      </c>
      <c r="C12" s="29">
        <f>IF(ISBLANK(TechData!D4),"",TechData!D4)</f>
        <v>125</v>
      </c>
      <c r="D12" s="29">
        <f>IF(ISBLANK(TechData!F4),"",TechData!F4)</f>
        <v>160</v>
      </c>
      <c r="E12" s="29">
        <f>IF(ISBLANK(TechData!H4),"",TechData!H4)</f>
        <v>200</v>
      </c>
      <c r="F12" s="29">
        <f>IF(ISBLANK(TechData!J4),"",TechData!J4)</f>
        <v>250</v>
      </c>
      <c r="G12" s="29">
        <f>IF(ISBLANK(TechData!K4),"",TechData!K4)</f>
        <v>250</v>
      </c>
      <c r="H12" s="29">
        <f>IF(ISBLANK(TechData!L4),"",TechData!L4)</f>
        <v>315</v>
      </c>
    </row>
    <row r="13" spans="1:8" s="56" customFormat="1" ht="12.75" x14ac:dyDescent="0.2">
      <c r="B13" s="57" t="s">
        <v>72</v>
      </c>
      <c r="C13" s="29">
        <f>IF(ISBLANK(TechData!D5),"",TechData!D5)</f>
        <v>9</v>
      </c>
      <c r="D13" s="29">
        <f>IF(ISBLANK(TechData!F5),"",TechData!F5)</f>
        <v>25</v>
      </c>
      <c r="E13" s="29">
        <f>IF(ISBLANK(TechData!H5),"",TechData!H5)</f>
        <v>49</v>
      </c>
      <c r="F13" s="29">
        <f>IF(ISBLANK(TechData!J5),"",TechData!J5)</f>
        <v>81</v>
      </c>
      <c r="G13" s="29">
        <f>IF(ISBLANK(TechData!K5),"",TechData!K5)</f>
        <v>81</v>
      </c>
      <c r="H13" s="29">
        <f>IF(ISBLANK(TechData!L5),"",TechData!L5)</f>
        <v>94</v>
      </c>
    </row>
    <row r="14" spans="1:8" s="56" customFormat="1" ht="14.25" x14ac:dyDescent="0.25">
      <c r="A14" s="58" t="s">
        <v>57</v>
      </c>
      <c r="B14" s="55" t="s">
        <v>13</v>
      </c>
      <c r="C14" s="60">
        <f>$C$2/3600/TechData!D13</f>
        <v>10.185916357881302</v>
      </c>
      <c r="D14" s="60">
        <f>$C$2/3600/TechData!F13</f>
        <v>6.216989964527162</v>
      </c>
      <c r="E14" s="60">
        <f>$C$2/3600/TechData!H13</f>
        <v>3.9788735772973833</v>
      </c>
      <c r="F14" s="60">
        <f>$C$2/3600/TechData!J13</f>
        <v>2.5464790894703255</v>
      </c>
      <c r="G14" s="60">
        <f>$C$2/3600/TechData!K13</f>
        <v>2.5464790894703255</v>
      </c>
      <c r="H14" s="60">
        <f>$C$2/3600/TechData!L13</f>
        <v>1.6039802780740271</v>
      </c>
    </row>
    <row r="15" spans="1:8" s="56" customFormat="1" ht="14.25" x14ac:dyDescent="0.25">
      <c r="A15" s="58" t="s">
        <v>58</v>
      </c>
      <c r="B15" s="55" t="s">
        <v>13</v>
      </c>
      <c r="C15" s="70">
        <f>$C$2/3600/TechData!D7</f>
        <v>12.75827572992268</v>
      </c>
      <c r="D15" s="70">
        <f>$C$2/3600/TechData!F7</f>
        <v>6.1809895912177391</v>
      </c>
      <c r="E15" s="70">
        <f>$C$2/3600/TechData!H7</f>
        <v>3.8372602275956402</v>
      </c>
      <c r="F15" s="70">
        <f>$C$2/3600/TechData!J7</f>
        <v>2.4364976662032269</v>
      </c>
      <c r="G15" s="70">
        <f>$C$2/3600/TechData!K7</f>
        <v>2.3421509203656199</v>
      </c>
      <c r="H15" s="70">
        <f>$C$2/3600/TechData!L7</f>
        <v>2.1953743547203945</v>
      </c>
    </row>
    <row r="16" spans="1:8" s="56" customFormat="1" ht="14.25" x14ac:dyDescent="0.25">
      <c r="A16" s="58" t="s">
        <v>52</v>
      </c>
      <c r="B16" s="55" t="s">
        <v>15</v>
      </c>
      <c r="C16" s="71">
        <f>IF(C9="","",IF(ISBLANK(TechData!D11),"-",IF((SelectionData!$C$2/TechData!D11)^(1/TechData!D12)&lt;1,"&lt;1",(SelectionData!$C$2/TechData!D11)^(1/TechData!D12))))</f>
        <v>559.60838899795556</v>
      </c>
      <c r="D16" s="71">
        <f>IF(D9="","",IF(ISBLANK(TechData!F11),"-",IF((SelectionData!$C$2/TechData!F11)^(1/TechData!F12)&lt;1,"&lt;1",(SelectionData!$C$2/TechData!F11)^(1/TechData!F12))))</f>
        <v>85.217292376159108</v>
      </c>
      <c r="E16" s="71">
        <f>IF(E9="","",IF(ISBLANK(TechData!H11),"-",IF((SelectionData!$C$2/TechData!H11)^(1/TechData!H12)&lt;1,"&lt;1",(SelectionData!$C$2/TechData!H11)^(1/TechData!H12))))</f>
        <v>26.222010752622662</v>
      </c>
      <c r="F16" s="71">
        <f>IF(F9="","",IF(ISBLANK(TechData!J11),"-",IF((SelectionData!$C$2/TechData!J11)^(1/TechData!J12)&lt;1,"&lt;1",(SelectionData!$C$2/TechData!J11)^(1/TechData!J12))))</f>
        <v>10.425838481295497</v>
      </c>
      <c r="G16" s="71">
        <f>IF(G9="","",IF(ISBLANK(TechData!K11),"-",IF((SelectionData!$C$2/TechData!K11)^(1/TechData!K12)&lt;1,"&lt;1",(SelectionData!$C$2/TechData!K11)^(1/TechData!K12))))</f>
        <v>11.306440155625658</v>
      </c>
      <c r="H16" s="71">
        <f>IF(H9="","",IF(ISBLANK(TechData!L11),"-",IF((SelectionData!$C$2/TechData!L11)^(1/TechData!L12)&lt;1,"&lt;1",(SelectionData!$C$2/TechData!L11)^(1/TechData!L12))))</f>
        <v>8.0179318129343464</v>
      </c>
    </row>
    <row r="17" spans="1:8" s="56" customFormat="1" ht="14.25" x14ac:dyDescent="0.25">
      <c r="A17" s="58" t="s">
        <v>53</v>
      </c>
      <c r="B17" s="55" t="s">
        <v>15</v>
      </c>
      <c r="C17" s="71">
        <f>IF(C9="","",IF(ISBLANK(TechData!D11),"-",IF((SelectionData!$C$2/TechData!D11)^(1/TechData!D12)+0.5*1.2*($C$2/3600/TechData!D13)^2&lt;1,"&lt;1",(SelectionData!$C$2/TechData!D11)^(1/TechData!D12)+0.5*1.2*($C$2/3600/TechData!D13)^2)))</f>
        <v>621.86012422780789</v>
      </c>
      <c r="D17" s="71">
        <f>IF(D9="","",IF(ISBLANK(TechData!F11),"-",IF((SelectionData!$C$2/TechData!F11)^(1/TechData!F12)+0.5*1.2*($C$2/3600/TechData!F13)^2&lt;1,"&lt;1",(SelectionData!$C$2/TechData!F11)^(1/TechData!F12)+0.5*1.2*($C$2/3600/TechData!F13)^2)))</f>
        <v>108.40787090757797</v>
      </c>
      <c r="E17" s="71">
        <f>IF(E9="","",IF(ISBLANK(TechData!H11),"-",IF((SelectionData!$C$2/TechData!H11)^(1/TechData!H12)+0.5*1.2*($C$2/3600/TechData!H13)^2&lt;1,"&lt;1",(SelectionData!$C$2/TechData!H11)^(1/TechData!H12)+0.5*1.2*($C$2/3600/TechData!H13)^2)))</f>
        <v>35.720871719091825</v>
      </c>
      <c r="F17" s="71">
        <f>IF(F9="","",IF(ISBLANK(TechData!J11),"-",IF((SelectionData!$C$2/TechData!J11)^(1/TechData!J12)+0.5*1.2*($C$2/3600/TechData!J13)^2&lt;1,"&lt;1",(SelectionData!$C$2/TechData!J11)^(1/TechData!J12)+0.5*1.2*($C$2/3600/TechData!J13)^2)))</f>
        <v>14.316571933161267</v>
      </c>
      <c r="G17" s="71">
        <f>IF(G9="","",IF(ISBLANK(TechData!K11),"-",IF((SelectionData!$C$2/TechData!K11)^(1/TechData!K12)+0.5*1.2*($C$2/3600/TechData!K13)^2&lt;1,"&lt;1",(SelectionData!$C$2/TechData!K11)^(1/TechData!K12)+0.5*1.2*($C$2/3600/TechData!K13)^2)))</f>
        <v>15.197173607491429</v>
      </c>
      <c r="H17" s="71">
        <f>IF(H9="","",IF(ISBLANK(TechData!L11),"-",IF((SelectionData!$C$2/TechData!L11)^(1/TechData!L12)+0.5*1.2*($C$2/3600/TechData!L13)^2&lt;1,"&lt;1",(SelectionData!$C$2/TechData!L11)^(1/TechData!L12)+0.5*1.2*($C$2/3600/TechData!L13)^2)))</f>
        <v>9.5615834524046068</v>
      </c>
    </row>
    <row r="18" spans="1:8" s="56" customFormat="1" ht="14.25" x14ac:dyDescent="0.25">
      <c r="A18" s="58" t="s">
        <v>54</v>
      </c>
      <c r="B18" s="55" t="s">
        <v>13</v>
      </c>
      <c r="C18" s="72">
        <f>IF(C9="","",IF(ISBLANK(TechData!D8),"-",IF(($C$2/3600/TechData!D7)*TechData!D8*SQRT(TechData!D7)/(SelectionData!$C$3-TechData!D9)&gt;0.75,"&gt;0.75",($C$2/3600/TechData!D7)*TechData!D8*SQRT(TechData!D7)/(SelectionData!$C$3-TechData!D9))))</f>
        <v>0.15019646519686058</v>
      </c>
      <c r="D18" s="72">
        <f>IF(D9="","",IF(ISBLANK(TechData!F8),"-",IF(($C$2/3600/TechData!F7)*TechData!F8*SQRT(TechData!F7)/(SelectionData!$C$3-TechData!F9)&gt;0.75,"&gt;0.75",($C$2/3600/TechData!F7)*TechData!F8*SQRT(TechData!F7)/(SelectionData!$C$3-TechData!F9))))</f>
        <v>0.12270212269977598</v>
      </c>
      <c r="E18" s="72">
        <f>IF(E9="","",IF(ISBLANK(TechData!H8),"-",IF(($C$2/3600/TechData!H7)*TechData!H8*SQRT(TechData!H7)/(SelectionData!$C$3-TechData!H9)&gt;0.75,"&gt;0.75",($C$2/3600/TechData!H7)*TechData!H8*SQRT(TechData!H7)/(SelectionData!$C$3-TechData!H9))))</f>
        <v>0.10105835892121412</v>
      </c>
      <c r="F18" s="72">
        <f>IF(F9="","",IF(ISBLANK(TechData!J8),"-",IF(($C$2/3600/TechData!J7)*TechData!J8*SQRT(TechData!J7)/(SelectionData!$C$3-TechData!J9)&gt;0.75,"&gt;0.75",($C$2/3600/TechData!J7)*TechData!J8*SQRT(TechData!J7)/(SelectionData!$C$3-TechData!J9))))</f>
        <v>6.8561732115672513E-2</v>
      </c>
      <c r="G18" s="72">
        <f>IF(G9="","",IF(ISBLANK(TechData!K8),"-",IF(($C$2/3600/TechData!K7)*TechData!K8*SQRT(TechData!K7)/(SelectionData!$C$3-TechData!K9)&gt;0.75,"&gt;0.75",($C$2/3600/TechData!K7)*TechData!K8*SQRT(TechData!K7)/(SelectionData!$C$3-TechData!K9))))</f>
        <v>6.4063800272450566E-2</v>
      </c>
      <c r="H18" s="72">
        <f>IF(H9="","",IF(ISBLANK(TechData!L8),"-",IF(($C$2/3600/TechData!L7)*TechData!L8*SQRT(TechData!L7)/(SelectionData!$C$3-TechData!L9)&gt;0.75,"&gt;0.75",($C$2/3600/TechData!L7)*TechData!L8*SQRT(TechData!L7)/(SelectionData!$C$3-TechData!L9))))</f>
        <v>4.4081873021380502E-2</v>
      </c>
    </row>
    <row r="19" spans="1:8" s="56" customFormat="1" ht="12.75" x14ac:dyDescent="0.2">
      <c r="A19" s="58" t="s">
        <v>19</v>
      </c>
      <c r="B19" s="55" t="s">
        <v>14</v>
      </c>
      <c r="C19" s="70">
        <f ca="1">IF(C9="","",IF(OR($C$4&gt;=$C$5,IntermediateCalcul!B9=""),"-",10^(FORECAST(ABS($C$4-$C$5),IntermediateCalcul!B$26:B$27,IntermediateCalcul!B$24:B$25)*LOG($C$2)+FORECAST(ABS($C$4-$C$5),IntermediateCalcul!B$28:B$29,IntermediateCalcul!B$24:B$25))))</f>
        <v>16.99892526343702</v>
      </c>
      <c r="D19" s="70">
        <f ca="1">IF(D9="","",IF(OR($C$4&gt;=$C$5,IntermediateCalcul!D9=""),"-",10^(FORECAST(ABS($C$4-$C$5),IntermediateCalcul!D$26:D$27,IntermediateCalcul!D$24:D$25)*LOG($C$2)+FORECAST(ABS($C$4-$C$5),IntermediateCalcul!D$28:D$29,IntermediateCalcul!D$24:D$25))))</f>
        <v>13.641123038851138</v>
      </c>
      <c r="E19" s="70">
        <f ca="1">IF(E9="","",IF(OR($C$4&gt;=$C$5,IntermediateCalcul!F9=""),"-",10^(FORECAST(ABS($C$4-$C$5),IntermediateCalcul!F$26:F$27,IntermediateCalcul!F$24:F$25)*LOG($C$2)+FORECAST(ABS($C$4-$C$5),IntermediateCalcul!F$28:F$29,IntermediateCalcul!F$24:F$25))))</f>
        <v>9.9487946753968881</v>
      </c>
      <c r="F19" s="70">
        <f ca="1">IF(F9="","",IF(OR($C$4&gt;=$C$5,IntermediateCalcul!H9=""),"-",10^(FORECAST(ABS($C$4-$C$5),IntermediateCalcul!H$26:H$27,IntermediateCalcul!H$24:H$25)*LOG($C$2)+FORECAST(ABS($C$4-$C$5),IntermediateCalcul!H$28:H$29,IntermediateCalcul!H$24:H$25))))</f>
        <v>3.0826068943437801</v>
      </c>
      <c r="G19" s="70">
        <f ca="1">IF(G9="","",IF(OR($C$4&gt;=$C$5,IntermediateCalcul!I9=""),"-",10^(FORECAST(ABS($C$4-$C$5),IntermediateCalcul!I$26:I$27,IntermediateCalcul!I$24:I$25)*LOG($C$2)+FORECAST(ABS($C$4-$C$5),IntermediateCalcul!I$28:I$29,IntermediateCalcul!I$24:I$25))))</f>
        <v>3.0386616360908336</v>
      </c>
      <c r="H19" s="70">
        <f ca="1">IF(H9="","",IF(OR($C$4&gt;=$C$5,IntermediateCalcul!J9=""),"-",10^(FORECAST(ABS($C$4-$C$5),IntermediateCalcul!J$26:J$27,IntermediateCalcul!J$24:J$25)*LOG($C$2)+FORECAST(ABS($C$4-$C$5),IntermediateCalcul!J$28:J$29,IntermediateCalcul!J$24:J$25))))</f>
        <v>1.7952055080049105</v>
      </c>
    </row>
    <row r="20" spans="1:8" s="56" customFormat="1" ht="14.25" hidden="1" x14ac:dyDescent="0.25">
      <c r="A20" s="58" t="s">
        <v>64</v>
      </c>
      <c r="B20" s="55" t="s">
        <v>20</v>
      </c>
      <c r="C20" s="60" t="str">
        <f>IF(C9="","",IF(OR(ISBLANK(TechData!D27),$C$5&lt;$C$4),"-",(TechData!D27*SQRT(TechData!D26)/(SelectionData!$C$3-TechData!D28)*(SelectionData!$C$4-SelectionData!$C$5)+(SelectionData!$C$5+273.15))-273.15))</f>
        <v>-</v>
      </c>
      <c r="D20" s="60" t="str">
        <f>IF(D9="","",IF(OR(ISBLANK(TechData!F27),$C$5&lt;$C$4),"-",(TechData!F27*SQRT(TechData!F26)/(SelectionData!$C$3-TechData!F28)*(SelectionData!$C$4-SelectionData!$C$5)+(SelectionData!$C$5+273.15))-273.15))</f>
        <v>-</v>
      </c>
      <c r="E20" s="60" t="str">
        <f>IF(E9="","",IF(OR(ISBLANK(TechData!H27),$C$5&lt;$C$4),"-",(TechData!H27*SQRT(TechData!H26)/(SelectionData!$C$3-TechData!H28)*(SelectionData!$C$4-SelectionData!$C$5)+(SelectionData!$C$5+273.15))-273.15))</f>
        <v>-</v>
      </c>
      <c r="F20" s="60" t="str">
        <f>IF(F9="","",IF(OR(ISBLANK(TechData!J27),$C$5&lt;$C$4),"-",(TechData!J27*SQRT(TechData!J26)/(SelectionData!$C$3-TechData!J28)*(SelectionData!$C$4-SelectionData!$C$5)+(SelectionData!$C$5+273.15))-273.15))</f>
        <v>-</v>
      </c>
      <c r="G20" s="60" t="str">
        <f>IF(G9="","",IF(OR(ISBLANK(TechData!K27),$C$5&lt;$C$4),"-",(TechData!K27*SQRT(TechData!K26)/(SelectionData!$C$3-TechData!K28)*(SelectionData!$C$4-SelectionData!$C$5)+(SelectionData!$C$5+273.15))-273.15))</f>
        <v>-</v>
      </c>
      <c r="H20" s="60" t="str">
        <f>IF(H9="","",IF(OR(ISBLANK(TechData!L27),$C$5&lt;$C$4),"-",(TechData!L27*SQRT(TechData!L26)/(SelectionData!$C$3-TechData!L28)*(SelectionData!$C$4-SelectionData!$C$5)+(SelectionData!$C$5+273.15))-273.15))</f>
        <v>-</v>
      </c>
    </row>
    <row r="21" spans="1:8" s="56" customFormat="1" ht="14.25" x14ac:dyDescent="0.25">
      <c r="A21" s="58" t="s">
        <v>55</v>
      </c>
      <c r="B21" s="55" t="str">
        <f>B6</f>
        <v>[dB(A)]</v>
      </c>
      <c r="C21" s="59" t="str">
        <f>IF($C$7="NR",IF(C9="","",IF(ISBLANK(TechData!D30),"-",IF(TechData!D30*LN(SelectionData!$C$2)+TechData!D31&lt;15,"&lt;15",IF(TechData!D30*LN(SelectionData!$C$2)+TechData!D31&gt;50,"&gt;50",TechData!D30*LN(SelectionData!$C$2)+TechData!D31)))),IF(C9="","",IF(ISBLANK(TechData!D33),"-",IF(TechData!D33*LN(SelectionData!$C$2)+TechData!D34&lt;20,"&lt;20",IF(TechData!D33*LN(SelectionData!$C$2)+TechData!D34&gt;55,"&gt;55",TechData!D33*LN(SelectionData!$C$2)+TechData!D34)))))</f>
        <v>&gt;55</v>
      </c>
      <c r="D21" s="59" t="str">
        <f>IF($C$7="NR",IF(D9="","",IF(ISBLANK(TechData!F30),"-",IF(TechData!F30*LN(SelectionData!$C$2)+TechData!F31&lt;15,"&lt;15",IF(TechData!F30*LN(SelectionData!$C$2)+TechData!F31&gt;50,"&gt;50",TechData!F30*LN(SelectionData!$C$2)+TechData!F31)))),IF(D9="","",IF(ISBLANK(TechData!F33),"-",IF(TechData!F33*LN(SelectionData!$C$2)+TechData!F34&lt;20,"&lt;20",IF(TechData!F33*LN(SelectionData!$C$2)+TechData!F34&gt;55,"&gt;55",TechData!F33*LN(SelectionData!$C$2)+TechData!F34)))))</f>
        <v>&gt;55</v>
      </c>
      <c r="E21" s="59">
        <f>IF($C$7="NR",IF(E9="","",IF(ISBLANK(TechData!H30),"-",IF(TechData!H30*LN(SelectionData!$C$2)+TechData!H31&lt;15,"&lt;15",IF(TechData!H30*LN(SelectionData!$C$2)+TechData!H31&gt;50,"&gt;50",TechData!H30*LN(SelectionData!$C$2)+TechData!H31)))),IF(E9="","",IF(ISBLANK(TechData!H33),"-",IF(TechData!H33*LN(SelectionData!$C$2)+TechData!H34&lt;20,"&lt;20",IF(TechData!H33*LN(SelectionData!$C$2)+TechData!H34&gt;55,"&gt;55",TechData!H33*LN(SelectionData!$C$2)+TechData!H34)))))</f>
        <v>45.247894452429762</v>
      </c>
      <c r="F21" s="59">
        <f>IF($C$7="NR",IF(F9="","",IF(ISBLANK(TechData!J30),"-",IF(TechData!J30*LN(SelectionData!$C$2)+TechData!J31&lt;15,"&lt;15",IF(TechData!J30*LN(SelectionData!$C$2)+TechData!J31&gt;50,"&gt;50",TechData!J30*LN(SelectionData!$C$2)+TechData!J31)))),IF(F9="","",IF(ISBLANK(TechData!J33),"-",IF(TechData!J33*LN(SelectionData!$C$2)+TechData!J34&lt;20,"&lt;20",IF(TechData!J33*LN(SelectionData!$C$2)+TechData!J34&gt;55,"&gt;55",TechData!J33*LN(SelectionData!$C$2)+TechData!J34)))))</f>
        <v>30.291738408291508</v>
      </c>
      <c r="G21" s="59">
        <f>IF($C$7="NR",IF(G9="","",IF(ISBLANK(TechData!K30),"-",IF(TechData!K30*LN(SelectionData!$C$2)+TechData!K31&lt;15,"&lt;15",IF(TechData!K30*LN(SelectionData!$C$2)+TechData!K31&gt;50,"&gt;50",TechData!K30*LN(SelectionData!$C$2)+TechData!K31)))),IF(G9="","",IF(ISBLANK(TechData!K33),"-",IF(TechData!K33*LN(SelectionData!$C$2)+TechData!K34&lt;20,"&lt;20",IF(TechData!K33*LN(SelectionData!$C$2)+TechData!K34&gt;55,"&gt;55",TechData!K33*LN(SelectionData!$C$2)+TechData!K34)))))</f>
        <v>25.61327849339537</v>
      </c>
      <c r="H21" s="59">
        <f>IF($C$7="NR",IF(H9="","",IF(ISBLANK(TechData!L30),"-",IF(TechData!L30*LN(SelectionData!$C$2)+TechData!L31&lt;15,"&lt;15",IF(TechData!L30*LN(SelectionData!$C$2)+TechData!L31&gt;50,"&gt;50",TechData!L30*LN(SelectionData!$C$2)+TechData!L31)))),IF(H9="","",IF(ISBLANK(TechData!L33),"-",IF(TechData!L33*LN(SelectionData!$C$2)+TechData!L34&lt;20,"&lt;20",IF(TechData!L33*LN(SelectionData!$C$2)+TechData!L34&gt;55,"&gt;55",TechData!L33*LN(SelectionData!$C$2)+TechData!L34)))))</f>
        <v>21.031804786973709</v>
      </c>
    </row>
    <row r="22" spans="1:8" s="56" customFormat="1" ht="14.25" x14ac:dyDescent="0.25">
      <c r="A22" s="58" t="s">
        <v>63</v>
      </c>
      <c r="B22" s="55" t="str">
        <f>B6</f>
        <v>[dB(A)]</v>
      </c>
      <c r="C22" s="59" t="str">
        <f>IF($C$7="NR",IF(C9="","",IF(ISBLANK(TechData!D30),"-",IF(TechData!D30*LN(SelectionData!$C$2)+TechData!D31-$C$6&lt;15,"&lt;15",IF(TechData!D30*LN(SelectionData!$C$2)+TechData!D31-$C$6&gt;50,"&gt;50",TechData!D30*LN(SelectionData!$C$2)+TechData!D31-$C$6)))),IF(C9="","",IF(ISBLANK(TechData!D33),"-",IF(TechData!D33*LN(SelectionData!$C$2)+TechData!D34-$C$6&lt;20,"&lt;20",IF(TechData!D33*LN(SelectionData!$C$2)+TechData!D34-$C$6&gt;55,"&gt;55",TechData!D33*LN(SelectionData!$C$2)+TechData!D34-$C$6)))))</f>
        <v>&gt;55</v>
      </c>
      <c r="D22" s="59">
        <f>IF($C$7="NR",IF(D9="","",IF(ISBLANK(TechData!F30),"-",IF(TechData!F30*LN(SelectionData!$C$2)+TechData!F31-$C$6&lt;15,"&lt;15",IF(TechData!F30*LN(SelectionData!$C$2)+TechData!F31-$C$6&gt;50,"&gt;50",TechData!F30*LN(SelectionData!$C$2)+TechData!F31-$C$6)))),IF(D9="","",IF(ISBLANK(TechData!F33),"-",IF(TechData!F33*LN(SelectionData!$C$2)+TechData!F34-$C$6&lt;20,"&lt;20",IF(TechData!F33*LN(SelectionData!$C$2)+TechData!F34-$C$6&gt;55,"&gt;55",TechData!F33*LN(SelectionData!$C$2)+TechData!F34-$C$6)))))</f>
        <v>53.548379831567814</v>
      </c>
      <c r="E22" s="59">
        <f>IF($C$7="NR",IF(E9="","",IF(ISBLANK(TechData!H30),"-",IF(TechData!H30*LN(SelectionData!$C$2)+TechData!H31-$C$6&lt;15,"&lt;15",IF(TechData!H30*LN(SelectionData!$C$2)+TechData!H31-$C$6&gt;50,"&gt;50",TechData!H30*LN(SelectionData!$C$2)+TechData!H31-$C$6)))),IF(E9="","",IF(ISBLANK(TechData!H33),"-",IF(TechData!H33*LN(SelectionData!$C$2)+TechData!H34-$C$6&lt;20,"&lt;20",IF(TechData!H33*LN(SelectionData!$C$2)+TechData!H34-$C$6&gt;55,"&gt;55",TechData!H33*LN(SelectionData!$C$2)+TechData!H34-$C$6)))))</f>
        <v>35.247894452429762</v>
      </c>
      <c r="F22" s="59">
        <f>IF($C$7="NR",IF(F9="","",IF(ISBLANK(TechData!J30),"-",IF(TechData!J30*LN(SelectionData!$C$2)+TechData!J31-$C$6&lt;15,"&lt;15",IF(TechData!J30*LN(SelectionData!$C$2)+TechData!J31-$C$6&gt;50,"&gt;50",TechData!J30*LN(SelectionData!$C$2)+TechData!J31-$C$6)))),IF(F9="","",IF(ISBLANK(TechData!J33),"-",IF(TechData!J33*LN(SelectionData!$C$2)+TechData!J34-$C$6&lt;20,"&lt;20",IF(TechData!J33*LN(SelectionData!$C$2)+TechData!J34-$C$6&gt;55,"&gt;55",TechData!J33*LN(SelectionData!$C$2)+TechData!J34-$C$6)))))</f>
        <v>20.291738408291508</v>
      </c>
      <c r="G22" s="59" t="str">
        <f>IF($C$7="NR",IF(G9="","",IF(ISBLANK(TechData!K30),"-",IF(TechData!K30*LN(SelectionData!$C$2)+TechData!K31-$C$6&lt;15,"&lt;15",IF(TechData!K30*LN(SelectionData!$C$2)+TechData!K31-$C$6&gt;50,"&gt;50",TechData!K30*LN(SelectionData!$C$2)+TechData!K31-$C$6)))),IF(G9="","",IF(ISBLANK(TechData!K33),"-",IF(TechData!K33*LN(SelectionData!$C$2)+TechData!K34-$C$6&lt;20,"&lt;20",IF(TechData!K33*LN(SelectionData!$C$2)+TechData!K34-$C$6&gt;55,"&gt;55",TechData!K33*LN(SelectionData!$C$2)+TechData!K34-$C$6)))))</f>
        <v>&lt;20</v>
      </c>
      <c r="H22" s="59" t="str">
        <f>IF($C$7="NR",IF(H9="","",IF(ISBLANK(TechData!L30),"-",IF(TechData!L30*LN(SelectionData!$C$2)+TechData!L31-$C$6&lt;15,"&lt;15",IF(TechData!L30*LN(SelectionData!$C$2)+TechData!L31-$C$6&gt;50,"&gt;50",TechData!L30*LN(SelectionData!$C$2)+TechData!L31-$C$6)))),IF(H9="","",IF(ISBLANK(TechData!L33),"-",IF(TechData!L33*LN(SelectionData!$C$2)+TechData!L34-$C$6&lt;20,"&lt;20",IF(TechData!L33*LN(SelectionData!$C$2)+TechData!L34-$C$6&gt;55,"&gt;55",TechData!L33*LN(SelectionData!$C$2)+TechData!L34-$C$6)))))</f>
        <v>&lt;20</v>
      </c>
    </row>
    <row r="23" spans="1:8" s="56" customFormat="1" x14ac:dyDescent="0.25">
      <c r="B23" s="41"/>
      <c r="G23"/>
    </row>
    <row r="24" spans="1:8" s="56" customFormat="1" ht="12.75" x14ac:dyDescent="0.2">
      <c r="A24" s="61" t="s">
        <v>16</v>
      </c>
      <c r="B24" s="41"/>
    </row>
    <row r="25" spans="1:8" s="56" customFormat="1" ht="14.25" x14ac:dyDescent="0.25">
      <c r="B25" s="41"/>
      <c r="C25" s="73" t="s">
        <v>56</v>
      </c>
      <c r="D25" s="73"/>
      <c r="E25" s="73"/>
      <c r="F25" s="73"/>
      <c r="G25" s="73"/>
      <c r="H25" s="73"/>
    </row>
    <row r="26" spans="1:8" s="56" customFormat="1" ht="12.75" x14ac:dyDescent="0.2">
      <c r="A26" s="54">
        <v>125</v>
      </c>
      <c r="B26" s="55" t="s">
        <v>17</v>
      </c>
      <c r="C26" s="60" t="str">
        <f>IF(C9="","",IF(AND(OR(ISNUMBER(C21),ISNUMBER(C22)),SUM(TechData!D36:D49)&lt;&gt;0),IF(TechData!D36="","&lt; BGL",IF(TechData!D36*LN(SelectionData!$C$2)+TechData!D37&lt;=0,"&lt; BGL",TechData!D36*LN(SelectionData!$C$2)+TechData!D37)),"-"))</f>
        <v>-</v>
      </c>
      <c r="D26" s="60">
        <f>IF(D9="","",IF(AND(OR(ISNUMBER(D21),ISNUMBER(D22)),SUM(TechData!F36:F49)&lt;&gt;0),IF(TechData!F36="","&lt; BGL",IF(TechData!F36*LN(SelectionData!$C$2)+TechData!F37&lt;=0,"&lt; BGL",TechData!F36*LN(SelectionData!$C$2)+TechData!F37)),"-"))</f>
        <v>46.941288076896043</v>
      </c>
      <c r="E26" s="60">
        <f>IF(E9="","",IF(AND(OR(ISNUMBER(E21),ISNUMBER(E22)),SUM(TechData!H36:H49)&lt;&gt;0),IF(TechData!H36="","&lt; BGL",IF(TechData!H36*LN(SelectionData!$C$2)+TechData!H37&lt;=0,"&lt; BGL",TechData!H36*LN(SelectionData!$C$2)+TechData!H37)),"-"))</f>
        <v>37.069708234195787</v>
      </c>
      <c r="F26" s="60">
        <f>IF(F9="","",IF(AND(OR(ISNUMBER(F21),ISNUMBER(F22)),SUM(TechData!J36:J49)&lt;&gt;0),IF(TechData!J36="","&lt; BGL",IF(TechData!J36*LN(SelectionData!$C$2)+TechData!J37&lt;=0,"&lt; BGL",TechData!J36*LN(SelectionData!$C$2)+TechData!J37)),"-"))</f>
        <v>28.854463943872247</v>
      </c>
      <c r="G26" s="60">
        <f>IF(G9="","",IF(AND(OR(ISNUMBER(G21),ISNUMBER(G22)),SUM(TechData!K36:K49)&lt;&gt;0),IF(TechData!K36="","&lt; BGL",IF(TechData!K36*LN(SelectionData!$C$2)+TechData!K37&lt;=0,"&lt; BGL",TechData!K36*LN(SelectionData!$C$2)+TechData!K37)),"-"))</f>
        <v>25.312207641607927</v>
      </c>
      <c r="H26" s="60">
        <f>IF(H9="","",IF(AND(OR(ISNUMBER(H21),ISNUMBER(H22)),SUM(TechData!L36:L49)&lt;&gt;0),IF(TechData!L36="","&lt; BGL",IF(TechData!L36*LN(SelectionData!$C$2)+TechData!L37&lt;=0,"&lt; BGL",TechData!L36*LN(SelectionData!$C$2)+TechData!L37)),"-"))</f>
        <v>21.392731905715166</v>
      </c>
    </row>
    <row r="27" spans="1:8" s="56" customFormat="1" ht="12.75" x14ac:dyDescent="0.2">
      <c r="A27" s="54">
        <v>250</v>
      </c>
      <c r="B27" s="55" t="s">
        <v>17</v>
      </c>
      <c r="C27" s="60" t="str">
        <f>IF(C9="","",IF(AND(OR(ISNUMBER(C21),ISNUMBER(C22)),SUM(TechData!D36:D49)&lt;&gt;0),IF(TechData!D38="","&lt; BGL",IF(TechData!D38*LN(SelectionData!$C$2)+TechData!D39&lt;=0,"&lt; BGL",TechData!D38*LN(SelectionData!$C$2)+TechData!D39)),"-"))</f>
        <v>-</v>
      </c>
      <c r="D27" s="60">
        <f>IF(D9="","",IF(AND(OR(ISNUMBER(D21),ISNUMBER(D22)),SUM(TechData!F36:F49)&lt;&gt;0),IF(TechData!F38="","&lt; BGL",IF(TechData!F38*LN(SelectionData!$C$2)+TechData!F39&lt;=0,"&lt; BGL",TechData!F38*LN(SelectionData!$C$2)+TechData!F39)),"-"))</f>
        <v>53.305390476726586</v>
      </c>
      <c r="E27" s="60">
        <f>IF(E9="","",IF(AND(OR(ISNUMBER(E21),ISNUMBER(E22)),SUM(TechData!H36:H49)&lt;&gt;0),IF(TechData!H38="","&lt; BGL",IF(TechData!H38*LN(SelectionData!$C$2)+TechData!H39&lt;=0,"&lt; BGL",TechData!H38*LN(SelectionData!$C$2)+TechData!H39)),"-"))</f>
        <v>40.099495861045341</v>
      </c>
      <c r="F27" s="60">
        <f>IF(F9="","",IF(AND(OR(ISNUMBER(F21),ISNUMBER(F22)),SUM(TechData!J36:J49)&lt;&gt;0),IF(TechData!J38="","&lt; BGL",IF(TechData!J38*LN(SelectionData!$C$2)+TechData!J39&lt;=0,"&lt; BGL",TechData!J38*LN(SelectionData!$C$2)+TechData!J39)),"-"))</f>
        <v>29.716627524332552</v>
      </c>
      <c r="G27" s="60">
        <f>IF(G9="","",IF(AND(OR(ISNUMBER(G21),ISNUMBER(G22)),SUM(TechData!K36:K49)&lt;&gt;0),IF(TechData!K38="","&lt; BGL",IF(TechData!K38*LN(SelectionData!$C$2)+TechData!K39&lt;=0,"&lt; BGL",TechData!K38*LN(SelectionData!$C$2)+TechData!K39)),"-"))</f>
        <v>26.298790564748813</v>
      </c>
      <c r="H27" s="60">
        <f>IF(H9="","",IF(AND(OR(ISNUMBER(H21),ISNUMBER(H22)),SUM(TechData!L36:L49)&lt;&gt;0),IF(TechData!L38="","&lt; BGL",IF(TechData!L38*LN(SelectionData!$C$2)+TechData!L39&lt;=0,"&lt; BGL",TechData!L38*LN(SelectionData!$C$2)+TechData!L39)),"-"))</f>
        <v>21.157840054226497</v>
      </c>
    </row>
    <row r="28" spans="1:8" s="56" customFormat="1" ht="12.75" x14ac:dyDescent="0.2">
      <c r="A28" s="54">
        <v>500</v>
      </c>
      <c r="B28" s="55" t="s">
        <v>17</v>
      </c>
      <c r="C28" s="60" t="str">
        <f>IF(C9="","",IF(AND(OR(ISNUMBER(C21),ISNUMBER(C22)),SUM(TechData!D36:D49)&lt;&gt;0),IF(TechData!D40="","&lt; BGL",IF(TechData!D40*LN(SelectionData!$C$2)+TechData!D41&lt;=0,"&lt; BGL",TechData!D40*LN(SelectionData!$C$2)+TechData!D41)),"-"))</f>
        <v>-</v>
      </c>
      <c r="D28" s="60">
        <f>IF(D9="","",IF(AND(OR(ISNUMBER(D21),ISNUMBER(D22)),SUM(TechData!F36:F49)&lt;&gt;0),IF(TechData!F40="","&lt; BGL",IF(TechData!F40*LN(SelectionData!$C$2)+TechData!F41&lt;=0,"&lt; BGL",TechData!F40*LN(SelectionData!$C$2)+TechData!F41)),"-"))</f>
        <v>56.15128847000841</v>
      </c>
      <c r="E28" s="60">
        <f>IF(E9="","",IF(AND(OR(ISNUMBER(E21),ISNUMBER(E22)),SUM(TechData!H36:H49)&lt;&gt;0),IF(TechData!H40="","&lt; BGL",IF(TechData!H40*LN(SelectionData!$C$2)+TechData!H41&lt;=0,"&lt; BGL",TechData!H40*LN(SelectionData!$C$2)+TechData!H41)),"-"))</f>
        <v>41.00094866700573</v>
      </c>
      <c r="F28" s="60">
        <f>IF(F9="","",IF(AND(OR(ISNUMBER(F21),ISNUMBER(F22)),SUM(TechData!J36:J49)&lt;&gt;0),IF(TechData!J40="","&lt; BGL",IF(TechData!J40*LN(SelectionData!$C$2)+TechData!J41&lt;=0,"&lt; BGL",TechData!J40*LN(SelectionData!$C$2)+TechData!J41)),"-"))</f>
        <v>28.715187932167026</v>
      </c>
      <c r="G28" s="60">
        <f>IF(G9="","",IF(AND(OR(ISNUMBER(G21),ISNUMBER(G22)),SUM(TechData!K36:K49)&lt;&gt;0),IF(TechData!K40="","&lt; BGL",IF(TechData!K40*LN(SelectionData!$C$2)+TechData!K41&lt;=0,"&lt; BGL",TechData!K40*LN(SelectionData!$C$2)+TechData!K41)),"-"))</f>
        <v>24.802760918769081</v>
      </c>
      <c r="H28" s="60">
        <f>IF(H9="","",IF(AND(OR(ISNUMBER(H21),ISNUMBER(H22)),SUM(TechData!L36:L49)&lt;&gt;0),IF(TechData!L40="","&lt; BGL",IF(TechData!L40*LN(SelectionData!$C$2)+TechData!L41&lt;=0,"&lt; BGL",TechData!L40*LN(SelectionData!$C$2)+TechData!L41)),"-"))</f>
        <v>21.756944265648173</v>
      </c>
    </row>
    <row r="29" spans="1:8" s="56" customFormat="1" ht="12.75" x14ac:dyDescent="0.2">
      <c r="A29" s="54">
        <v>1000</v>
      </c>
      <c r="B29" s="55" t="s">
        <v>17</v>
      </c>
      <c r="C29" s="60" t="str">
        <f>IF(C9="","",IF(AND(OR(ISNUMBER(C21),ISNUMBER(C22)),SUM(TechData!D36:D49)&lt;&gt;0),IF(TechData!D42="","&lt; BGL",IF(TechData!D42*LN(SelectionData!$C$2)+TechData!D43&lt;=0,"&lt; BGL",TechData!D42*LN(SelectionData!$C$2)+TechData!D43)),"-"))</f>
        <v>-</v>
      </c>
      <c r="D29" s="60">
        <f>IF(D9="","",IF(AND(OR(ISNUMBER(D21),ISNUMBER(D22)),SUM(TechData!F36:F49)&lt;&gt;0),IF(TechData!F42="","&lt; BGL",IF(TechData!F42*LN(SelectionData!$C$2)+TechData!F43&lt;=0,"&lt; BGL",TechData!F42*LN(SelectionData!$C$2)+TechData!F43)),"-"))</f>
        <v>65.517987413545626</v>
      </c>
      <c r="E29" s="60">
        <f>IF(E9="","",IF(AND(OR(ISNUMBER(E21),ISNUMBER(E22)),SUM(TechData!H36:H49)&lt;&gt;0),IF(TechData!H42="","&lt; BGL",IF(TechData!H42*LN(SelectionData!$C$2)+TechData!H43&lt;=0,"&lt; BGL",TechData!H42*LN(SelectionData!$C$2)+TechData!H43)),"-"))</f>
        <v>44.114429889946109</v>
      </c>
      <c r="F29" s="60">
        <f>IF(F9="","",IF(AND(OR(ISNUMBER(F21),ISNUMBER(F22)),SUM(TechData!J36:J49)&lt;&gt;0),IF(TechData!J42="","&lt; BGL",IF(TechData!J42*LN(SelectionData!$C$2)+TechData!J43&lt;=0,"&lt; BGL",TechData!J42*LN(SelectionData!$C$2)+TechData!J43)),"-"))</f>
        <v>26.409073599405673</v>
      </c>
      <c r="G29" s="60">
        <f>IF(G9="","",IF(AND(OR(ISNUMBER(G21),ISNUMBER(G22)),SUM(TechData!K36:K49)&lt;&gt;0),IF(TechData!K42="","&lt; BGL",IF(TechData!K42*LN(SelectionData!$C$2)+TechData!K43&lt;=0,"&lt; BGL",TechData!K42*LN(SelectionData!$C$2)+TechData!K43)),"-"))</f>
        <v>20.946135455622255</v>
      </c>
      <c r="H29" s="60">
        <f>IF(H9="","",IF(AND(OR(ISNUMBER(H21),ISNUMBER(H22)),SUM(TechData!L36:L49)&lt;&gt;0),IF(TechData!L42="","&lt; BGL",IF(TechData!L42*LN(SelectionData!$C$2)+TechData!L43&lt;=0,"&lt; BGL",TechData!L42*LN(SelectionData!$C$2)+TechData!L43)),"-"))</f>
        <v>15.46304739860031</v>
      </c>
    </row>
    <row r="30" spans="1:8" s="56" customFormat="1" ht="12.75" x14ac:dyDescent="0.2">
      <c r="A30" s="54">
        <v>2000</v>
      </c>
      <c r="B30" s="55" t="s">
        <v>17</v>
      </c>
      <c r="C30" s="60" t="str">
        <f>IF(C9="","",IF(AND(OR(ISNUMBER(C21),ISNUMBER(C22)),SUM(TechData!D36:D49)&lt;&gt;0),IF(TechData!D44="","&lt; BGL",IF(TechData!D44*LN(SelectionData!$C$2)+TechData!D45&lt;=0,"&lt; BGL",TechData!D44*LN(SelectionData!$C$2)+TechData!D45)),"-"))</f>
        <v>-</v>
      </c>
      <c r="D30" s="60">
        <f>IF(D9="","",IF(AND(OR(ISNUMBER(D21),ISNUMBER(D22)),SUM(TechData!F36:F49)&lt;&gt;0),IF(TechData!F44="","&lt; BGL",IF(TechData!F44*LN(SelectionData!$C$2)+TechData!F45&lt;=0,"&lt; BGL",TechData!F44*LN(SelectionData!$C$2)+TechData!F45)),"-"))</f>
        <v>62.584664769043059</v>
      </c>
      <c r="E30" s="60">
        <f>IF(E9="","",IF(AND(OR(ISNUMBER(E21),ISNUMBER(E22)),SUM(TechData!H36:H49)&lt;&gt;0),IF(TechData!H44="","&lt; BGL",IF(TechData!H44*LN(SelectionData!$C$2)+TechData!H45&lt;=0,"&lt; BGL",TechData!H44*LN(SelectionData!$C$2)+TechData!H45)),"-"))</f>
        <v>36.060933193856954</v>
      </c>
      <c r="F30" s="60">
        <f>IF(F9="","",IF(AND(OR(ISNUMBER(F21),ISNUMBER(F22)),SUM(TechData!J36:J49)&lt;&gt;0),IF(TechData!J44="","&lt; BGL",IF(TechData!J44*LN(SelectionData!$C$2)+TechData!J45&lt;=0,"&lt; BGL",TechData!J44*LN(SelectionData!$C$2)+TechData!J45)),"-"))</f>
        <v>16.896382805483483</v>
      </c>
      <c r="G30" s="60">
        <f>IF(G9="","",IF(AND(OR(ISNUMBER(G21),ISNUMBER(G22)),SUM(TechData!K36:K49)&lt;&gt;0),IF(TechData!K44="","&lt; BGL",IF(TechData!K44*LN(SelectionData!$C$2)+TechData!K45&lt;=0,"&lt; BGL",TechData!K44*LN(SelectionData!$C$2)+TechData!K45)),"-"))</f>
        <v>9.5590511531096922</v>
      </c>
      <c r="H30" s="60">
        <f>IF(H9="","",IF(AND(OR(ISNUMBER(H21),ISNUMBER(H22)),SUM(TechData!L36:L49)&lt;&gt;0),IF(TechData!L44="","&lt; BGL",IF(TechData!L44*LN(SelectionData!$C$2)+TechData!L45&lt;=0,"&lt; BGL",TechData!L44*LN(SelectionData!$C$2)+TechData!L45)),"-"))</f>
        <v>2.0150706495362556</v>
      </c>
    </row>
    <row r="31" spans="1:8" s="56" customFormat="1" ht="12.75" x14ac:dyDescent="0.2">
      <c r="A31" s="54">
        <v>4000</v>
      </c>
      <c r="B31" s="55" t="s">
        <v>17</v>
      </c>
      <c r="C31" s="60" t="str">
        <f>IF(C9="","",IF(AND(OR(ISNUMBER(C21),ISNUMBER(C22)),SUM(TechData!D36:D49)&lt;&gt;0),IF(TechData!D46="","&lt; BGL",IF(TechData!D46*LN(SelectionData!$C$2)+TechData!D47&lt;=0,"&lt; BGL",TechData!D46*LN(SelectionData!$C$2)+TechData!D47)),"-"))</f>
        <v>-</v>
      </c>
      <c r="D31" s="60">
        <f>IF(D9="","",IF(AND(OR(ISNUMBER(D21),ISNUMBER(D22)),SUM(TechData!F36:F49)&lt;&gt;0),IF(TechData!F46="","&lt; BGL",IF(TechData!F46*LN(SelectionData!$C$2)+TechData!F47&lt;=0,"&lt; BGL",TechData!F46*LN(SelectionData!$C$2)+TechData!F47)),"-"))</f>
        <v>52.71989913610247</v>
      </c>
      <c r="E31" s="60">
        <f>IF(E9="","",IF(AND(OR(ISNUMBER(E21),ISNUMBER(E22)),SUM(TechData!H36:H49)&lt;&gt;0),IF(TechData!H46="","&lt; BGL",IF(TechData!H46*LN(SelectionData!$C$2)+TechData!H47&lt;=0,"&lt; BGL",TechData!H46*LN(SelectionData!$C$2)+TechData!H47)),"-"))</f>
        <v>24.949042040731001</v>
      </c>
      <c r="F31" s="60">
        <f>IF(F9="","",IF(AND(OR(ISNUMBER(F21),ISNUMBER(F22)),SUM(TechData!J36:J49)&lt;&gt;0),IF(TechData!J46="","&lt; BGL",IF(TechData!J46*LN(SelectionData!$C$2)+TechData!J47&lt;=0,"&lt; BGL",TechData!J46*LN(SelectionData!$C$2)+TechData!J47)),"-"))</f>
        <v>9.2725858107635304</v>
      </c>
      <c r="G31" s="60" t="str">
        <f>IF(G9="","",IF(AND(OR(ISNUMBER(G21),ISNUMBER(G22)),SUM(TechData!K36:K49)&lt;&gt;0),IF(TechData!K46="","&lt; BGL",IF(TechData!K46*LN(SelectionData!$C$2)+TechData!K47&lt;=0,"&lt; BGL",TechData!K46*LN(SelectionData!$C$2)+TechData!K47)),"-"))</f>
        <v>&lt; BGL</v>
      </c>
      <c r="H31" s="60" t="str">
        <f>IF(H9="","",IF(AND(OR(ISNUMBER(H21),ISNUMBER(H22)),SUM(TechData!L36:L49)&lt;&gt;0),IF(TechData!L46="","&lt; BGL",IF(TechData!L46*LN(SelectionData!$C$2)+TechData!L47&lt;=0,"&lt; BGL",TechData!L46*LN(SelectionData!$C$2)+TechData!L47)),"-"))</f>
        <v>&lt; BGL</v>
      </c>
    </row>
    <row r="32" spans="1:8" s="56" customFormat="1" ht="12.75" x14ac:dyDescent="0.2">
      <c r="A32" s="54">
        <v>8000</v>
      </c>
      <c r="B32" s="55" t="s">
        <v>17</v>
      </c>
      <c r="C32" s="60" t="str">
        <f>IF(C9="","",IF(AND(OR(ISNUMBER(C21),ISNUMBER(C22)),SUM(TechData!D36:D49)&lt;&gt;0),IF(TechData!D48="","&lt; BGL",IF(TechData!D48*LN(SelectionData!$C$2)+TechData!D49&lt;=0,"&lt; BGL",TechData!D48*LN(SelectionData!$C$2)+TechData!D49)),"-"))</f>
        <v>-</v>
      </c>
      <c r="D32" s="60" t="str">
        <f>IF(D9="","",IF(AND(OR(ISNUMBER(D21),ISNUMBER(D22)),SUM(TechData!F36:F49)&lt;&gt;0),IF(TechData!F48="","&lt; BGL",IF(TechData!F48*LN(SelectionData!$C$2)+TechData!F49&lt;=0,"&lt; BGL",TechData!F48*LN(SelectionData!$C$2)+TechData!F49)),"-"))</f>
        <v>&lt; BGL</v>
      </c>
      <c r="E32" s="60" t="str">
        <f>IF(E9="","",IF(AND(OR(ISNUMBER(E21),ISNUMBER(E22)),SUM(TechData!H36:H49)&lt;&gt;0),IF(TechData!H48="","&lt; BGL",IF(TechData!H48*LN(SelectionData!$C$2)+TechData!H49&lt;=0,"&lt; BGL",TechData!H48*LN(SelectionData!$C$2)+TechData!H49)),"-"))</f>
        <v>&lt; BGL</v>
      </c>
      <c r="F32" s="60" t="str">
        <f>IF(F9="","",IF(AND(OR(ISNUMBER(F21),ISNUMBER(F22)),SUM(TechData!J36:J49)&lt;&gt;0),IF(TechData!J48="","&lt; BGL",IF(TechData!J48*LN(SelectionData!$C$2)+TechData!J49&lt;=0,"&lt; BGL",TechData!J48*LN(SelectionData!$C$2)+TechData!J49)),"-"))</f>
        <v>&lt; BGL</v>
      </c>
      <c r="G32" s="60" t="str">
        <f>IF(G9="","",IF(AND(OR(ISNUMBER(G21),ISNUMBER(G22)),SUM(TechData!K36:K49)&lt;&gt;0),IF(TechData!K48="","&lt; BGL",IF(TechData!K48*LN(SelectionData!$C$2)+TechData!K49&lt;=0,"&lt; BGL",TechData!K48*LN(SelectionData!$C$2)+TechData!K49)),"-"))</f>
        <v>&lt; BGL</v>
      </c>
      <c r="H32" s="60" t="str">
        <f>IF(H9="","",IF(AND(OR(ISNUMBER(H21),ISNUMBER(H22)),SUM(TechData!L36:L49)&lt;&gt;0),IF(TechData!L48="","&lt; BGL",IF(TechData!L48*LN(SelectionData!$C$2)+TechData!L49&lt;=0,"&lt; BGL",TechData!L48*LN(SelectionData!$C$2)+TechData!L49)),"-"))</f>
        <v>&lt; BGL</v>
      </c>
    </row>
    <row r="33" spans="1:1" x14ac:dyDescent="0.25">
      <c r="A33" s="7" t="s">
        <v>18</v>
      </c>
    </row>
  </sheetData>
  <sheetProtection algorithmName="SHA-512" hashValue="S1QsZfeEvWLtdyF0JfJ6XcBYqOF7qWAkd5Tgh6TShSK2s+lDPN9sVCr7ZChDBcuKvTjNA1z6dGmixquiXRqNWg==" saltValue="9gPwk5j/i4DFUQoc7D6gKA==" spinCount="100000" sheet="1" objects="1" scenarios="1"/>
  <mergeCells count="1">
    <mergeCell ref="C25:H25"/>
  </mergeCells>
  <dataValidations count="1">
    <dataValidation type="list" allowBlank="1" showInputMessage="1" showErrorMessage="1" sqref="C7">
      <formula1>units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sheetProtection algorithmName="SHA-512" hashValue="WS5Dl8isiTjh3bBGsrbod/dIBxzk1AesGCMYh19Pq3P/OzkKdRhwJ1h0wwxVrAJ4WT+EFZ567sfVTP34sb8Frg==" saltValue="JJ8cjd9cmZZGp6siqrkHm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50"/>
  <sheetViews>
    <sheetView topLeftCell="B1" zoomScale="90" zoomScaleNormal="90" workbookViewId="0">
      <selection activeCell="J15" sqref="J15"/>
    </sheetView>
  </sheetViews>
  <sheetFormatPr defaultRowHeight="15" x14ac:dyDescent="0.25"/>
  <cols>
    <col min="1" max="1" width="33.5703125" bestFit="1" customWidth="1"/>
    <col min="2" max="2" width="5.140625" customWidth="1"/>
    <col min="3" max="3" width="22.5703125" style="1" bestFit="1" customWidth="1"/>
    <col min="4" max="4" width="15.7109375" style="67" customWidth="1"/>
    <col min="5" max="5" width="15.7109375" style="67" hidden="1" customWidth="1"/>
    <col min="6" max="6" width="15.7109375" style="67" customWidth="1"/>
    <col min="7" max="7" width="15.7109375" style="41" hidden="1" customWidth="1"/>
    <col min="8" max="8" width="15.7109375" style="41" customWidth="1"/>
    <col min="9" max="9" width="15.7109375" hidden="1" customWidth="1"/>
    <col min="10" max="15" width="15.7109375" customWidth="1"/>
  </cols>
  <sheetData>
    <row r="1" spans="1:15" x14ac:dyDescent="0.25">
      <c r="A1" s="14"/>
      <c r="B1" s="15"/>
      <c r="C1" s="16" t="s">
        <v>24</v>
      </c>
      <c r="D1" s="62" t="s">
        <v>70</v>
      </c>
      <c r="E1" s="62" t="s">
        <v>70</v>
      </c>
      <c r="F1" s="62" t="s">
        <v>70</v>
      </c>
      <c r="G1" s="62" t="s">
        <v>70</v>
      </c>
      <c r="H1" s="62" t="s">
        <v>70</v>
      </c>
      <c r="I1" s="62" t="s">
        <v>70</v>
      </c>
      <c r="J1" s="62" t="s">
        <v>70</v>
      </c>
      <c r="K1" s="62" t="s">
        <v>71</v>
      </c>
      <c r="L1" s="62" t="s">
        <v>71</v>
      </c>
      <c r="M1" s="29"/>
      <c r="N1" s="29"/>
      <c r="O1" s="29"/>
    </row>
    <row r="2" spans="1:15" x14ac:dyDescent="0.25">
      <c r="A2" s="8"/>
      <c r="B2" s="13"/>
      <c r="C2" s="17" t="s">
        <v>25</v>
      </c>
      <c r="D2" s="62">
        <v>294</v>
      </c>
      <c r="E2" s="62">
        <v>394</v>
      </c>
      <c r="F2" s="62">
        <v>394</v>
      </c>
      <c r="G2" s="29">
        <v>494</v>
      </c>
      <c r="H2" s="29">
        <v>494</v>
      </c>
      <c r="I2" s="29">
        <v>594</v>
      </c>
      <c r="J2" s="29">
        <v>594</v>
      </c>
      <c r="K2" s="29">
        <v>594</v>
      </c>
      <c r="L2" s="29">
        <v>594</v>
      </c>
      <c r="M2" s="29"/>
      <c r="N2" s="29"/>
      <c r="O2" s="29"/>
    </row>
    <row r="3" spans="1:15" x14ac:dyDescent="0.25">
      <c r="A3" s="8"/>
      <c r="B3" s="13"/>
      <c r="C3" s="17" t="s">
        <v>66</v>
      </c>
      <c r="D3" s="62" t="s">
        <v>68</v>
      </c>
      <c r="E3" s="62" t="s">
        <v>68</v>
      </c>
      <c r="F3" s="62" t="s">
        <v>68</v>
      </c>
      <c r="G3" s="62" t="s">
        <v>68</v>
      </c>
      <c r="H3" s="62" t="s">
        <v>68</v>
      </c>
      <c r="I3" s="62" t="s">
        <v>68</v>
      </c>
      <c r="J3" s="62" t="s">
        <v>68</v>
      </c>
      <c r="K3" s="62" t="s">
        <v>69</v>
      </c>
      <c r="L3" s="62" t="s">
        <v>69</v>
      </c>
      <c r="M3" s="29"/>
      <c r="N3" s="29"/>
      <c r="O3" s="29"/>
    </row>
    <row r="4" spans="1:15" x14ac:dyDescent="0.25">
      <c r="A4" s="8"/>
      <c r="B4" s="13"/>
      <c r="C4" s="17" t="s">
        <v>67</v>
      </c>
      <c r="D4" s="62">
        <v>125</v>
      </c>
      <c r="E4" s="62">
        <v>125</v>
      </c>
      <c r="F4" s="62">
        <v>160</v>
      </c>
      <c r="G4" s="28">
        <v>200</v>
      </c>
      <c r="H4" s="29">
        <v>200</v>
      </c>
      <c r="I4" s="29">
        <v>250</v>
      </c>
      <c r="J4" s="29">
        <v>250</v>
      </c>
      <c r="K4" s="29">
        <v>250</v>
      </c>
      <c r="L4" s="29">
        <v>315</v>
      </c>
      <c r="M4" s="29"/>
      <c r="N4" s="29"/>
      <c r="O4" s="29"/>
    </row>
    <row r="5" spans="1:15" x14ac:dyDescent="0.25">
      <c r="A5" s="18"/>
      <c r="B5" s="19"/>
      <c r="C5" s="20" t="s">
        <v>72</v>
      </c>
      <c r="D5" s="62">
        <v>9</v>
      </c>
      <c r="E5" s="62">
        <v>16</v>
      </c>
      <c r="F5" s="62">
        <v>25</v>
      </c>
      <c r="G5" s="29">
        <v>36</v>
      </c>
      <c r="H5" s="29">
        <v>49</v>
      </c>
      <c r="I5" s="29">
        <v>64</v>
      </c>
      <c r="J5" s="29">
        <v>81</v>
      </c>
      <c r="K5" s="29">
        <v>81</v>
      </c>
      <c r="L5" s="29">
        <v>94</v>
      </c>
      <c r="M5" s="29"/>
      <c r="N5" s="29"/>
      <c r="O5" s="29"/>
    </row>
    <row r="6" spans="1:15" ht="15" customHeight="1" x14ac:dyDescent="0.25">
      <c r="A6" s="3" t="s">
        <v>0</v>
      </c>
      <c r="B6" s="9"/>
      <c r="C6" s="4"/>
      <c r="D6" s="63"/>
      <c r="E6" s="63"/>
      <c r="F6" s="63"/>
      <c r="G6" s="30"/>
      <c r="H6" s="31"/>
      <c r="I6" s="31"/>
      <c r="J6" s="31"/>
      <c r="K6" s="31"/>
      <c r="L6" s="31"/>
      <c r="M6" s="31"/>
      <c r="N6" s="31"/>
      <c r="O6" s="31"/>
    </row>
    <row r="7" spans="1:15" ht="15" customHeight="1" x14ac:dyDescent="0.35">
      <c r="A7" s="8"/>
      <c r="B7" s="12"/>
      <c r="C7" s="2" t="s">
        <v>5</v>
      </c>
      <c r="D7" s="64">
        <v>9.797562197752999E-3</v>
      </c>
      <c r="E7" s="64">
        <v>1.7901454430273633E-2</v>
      </c>
      <c r="F7" s="65">
        <v>2.0223298899840616E-2</v>
      </c>
      <c r="G7" s="65"/>
      <c r="H7" s="32">
        <v>3.2575325254477934E-2</v>
      </c>
      <c r="I7" s="32"/>
      <c r="J7" s="32">
        <v>5.1303147847782025E-2</v>
      </c>
      <c r="K7" s="32">
        <v>5.336974612228957E-2</v>
      </c>
      <c r="L7" s="32">
        <v>5.693789750765315E-2</v>
      </c>
      <c r="M7" s="32"/>
      <c r="N7" s="32"/>
      <c r="O7" s="32"/>
    </row>
    <row r="8" spans="1:15" ht="15" customHeight="1" x14ac:dyDescent="0.35">
      <c r="A8" s="8"/>
      <c r="B8" s="12"/>
      <c r="C8" s="2" t="s">
        <v>4</v>
      </c>
      <c r="D8" s="74">
        <v>0.95503650304861543</v>
      </c>
      <c r="E8" s="74">
        <v>2.7361176228277699</v>
      </c>
      <c r="F8" s="74">
        <v>1.1141731929592507</v>
      </c>
      <c r="G8" s="75"/>
      <c r="H8" s="74">
        <v>1.2016</v>
      </c>
      <c r="I8" s="76"/>
      <c r="J8" s="74">
        <v>1.0067999999999999</v>
      </c>
      <c r="K8" s="74">
        <v>0.95879999999999999</v>
      </c>
      <c r="L8" s="74">
        <v>0.65026275373758669</v>
      </c>
      <c r="M8" s="33"/>
      <c r="N8" s="33"/>
      <c r="O8" s="33"/>
    </row>
    <row r="9" spans="1:15" ht="15" customHeight="1" x14ac:dyDescent="0.35">
      <c r="A9" s="18"/>
      <c r="B9" s="21"/>
      <c r="C9" s="2" t="s">
        <v>6</v>
      </c>
      <c r="D9" s="77">
        <v>-2.9920727529926191E-2</v>
      </c>
      <c r="E9" s="75">
        <v>-1.4123979804726353E-2</v>
      </c>
      <c r="F9" s="77">
        <v>1.8497724160458195E-2</v>
      </c>
      <c r="G9" s="76"/>
      <c r="H9" s="78">
        <v>-0.23480483481381551</v>
      </c>
      <c r="I9" s="76"/>
      <c r="J9" s="78">
        <v>-0.104</v>
      </c>
      <c r="K9" s="78">
        <v>-9.8000000000000004E-2</v>
      </c>
      <c r="L9" s="78">
        <v>0.27251555600349059</v>
      </c>
      <c r="M9" s="33"/>
      <c r="N9" s="33"/>
      <c r="O9" s="33"/>
    </row>
    <row r="10" spans="1:15" ht="15" customHeight="1" x14ac:dyDescent="0.25">
      <c r="A10" s="3" t="s">
        <v>3</v>
      </c>
      <c r="B10" s="9"/>
      <c r="C10" s="4"/>
      <c r="D10" s="5"/>
      <c r="E10" s="5"/>
      <c r="F10" s="5"/>
      <c r="G10" s="34"/>
      <c r="H10" s="34"/>
      <c r="I10" s="35"/>
      <c r="J10" s="35"/>
      <c r="K10" s="35"/>
      <c r="L10" s="35"/>
      <c r="M10" s="35"/>
      <c r="N10" s="35"/>
      <c r="O10" s="35"/>
    </row>
    <row r="11" spans="1:15" ht="15" customHeight="1" x14ac:dyDescent="0.25">
      <c r="A11" s="8"/>
      <c r="B11" s="12"/>
      <c r="C11" s="2" t="s">
        <v>2</v>
      </c>
      <c r="D11" s="64">
        <v>18.954165869501754</v>
      </c>
      <c r="E11" s="64">
        <v>29.732919975694415</v>
      </c>
      <c r="F11" s="65">
        <v>45.936021506562113</v>
      </c>
      <c r="G11" s="33"/>
      <c r="H11" s="33">
        <v>88.395972084641627</v>
      </c>
      <c r="I11" s="33"/>
      <c r="J11" s="33">
        <v>138.88744713447159</v>
      </c>
      <c r="K11" s="33">
        <v>125.84452294651264</v>
      </c>
      <c r="L11" s="33">
        <v>150.67630451758089</v>
      </c>
      <c r="M11" s="33"/>
      <c r="N11" s="33"/>
      <c r="O11" s="33"/>
    </row>
    <row r="12" spans="1:15" ht="15" customHeight="1" x14ac:dyDescent="0.25">
      <c r="A12" s="8"/>
      <c r="B12" s="12"/>
      <c r="C12" s="2" t="s">
        <v>1</v>
      </c>
      <c r="D12" s="64">
        <v>0.50056979430207771</v>
      </c>
      <c r="E12" s="64">
        <v>0.51600438042766616</v>
      </c>
      <c r="F12" s="65">
        <v>0.51336177113199077</v>
      </c>
      <c r="G12" s="33"/>
      <c r="H12" s="33">
        <v>0.49820045176548933</v>
      </c>
      <c r="I12" s="33"/>
      <c r="J12" s="33">
        <v>0.50146744534660759</v>
      </c>
      <c r="K12" s="33">
        <v>0.52536275915636199</v>
      </c>
      <c r="L12" s="33">
        <v>0.52559156911305638</v>
      </c>
      <c r="M12" s="33"/>
      <c r="N12" s="33"/>
      <c r="O12" s="33"/>
    </row>
    <row r="13" spans="1:15" ht="15" customHeight="1" x14ac:dyDescent="0.35">
      <c r="A13" s="22"/>
      <c r="B13" s="23"/>
      <c r="C13" s="2" t="s">
        <v>7</v>
      </c>
      <c r="D13" s="65">
        <f>PI()*(D4/2000)^2</f>
        <v>1.2271846303085129E-2</v>
      </c>
      <c r="E13" s="65">
        <f t="shared" ref="E13:L13" si="0">PI()*(E4/2000)^2</f>
        <v>1.2271846303085129E-2</v>
      </c>
      <c r="F13" s="65">
        <f t="shared" si="0"/>
        <v>2.0106192982974676E-2</v>
      </c>
      <c r="G13" s="65"/>
      <c r="H13" s="65">
        <f t="shared" si="0"/>
        <v>3.1415926535897934E-2</v>
      </c>
      <c r="I13" s="65"/>
      <c r="J13" s="65">
        <f t="shared" si="0"/>
        <v>4.9087385212340517E-2</v>
      </c>
      <c r="K13" s="65">
        <f t="shared" si="0"/>
        <v>4.9087385212340517E-2</v>
      </c>
      <c r="L13" s="65">
        <f t="shared" si="0"/>
        <v>7.793113276311181E-2</v>
      </c>
      <c r="M13" s="32"/>
      <c r="N13" s="32"/>
      <c r="O13" s="32"/>
    </row>
    <row r="14" spans="1:15" ht="15" customHeight="1" x14ac:dyDescent="0.25">
      <c r="A14" s="3" t="s">
        <v>26</v>
      </c>
      <c r="B14" s="9"/>
      <c r="C14" s="4"/>
      <c r="D14" s="66"/>
      <c r="E14" s="5"/>
      <c r="F14" s="5"/>
      <c r="G14" s="10"/>
      <c r="H14" s="11"/>
      <c r="I14" s="11"/>
      <c r="J14" s="11"/>
      <c r="K14" s="11"/>
      <c r="L14" s="11"/>
      <c r="M14" s="11"/>
      <c r="N14" s="11"/>
      <c r="O14" s="11"/>
    </row>
    <row r="15" spans="1:15" ht="15" customHeight="1" x14ac:dyDescent="0.25">
      <c r="A15" s="24"/>
      <c r="B15" s="25" t="s">
        <v>27</v>
      </c>
      <c r="C15" s="2" t="s">
        <v>2</v>
      </c>
      <c r="D15" s="64">
        <v>1.4343883877099726</v>
      </c>
      <c r="E15" s="64">
        <v>1.2675491964105008</v>
      </c>
      <c r="F15" s="64">
        <v>1.5274887696441908</v>
      </c>
      <c r="G15" s="65"/>
      <c r="H15" s="65">
        <v>1.0220490625245691</v>
      </c>
      <c r="I15" s="38"/>
      <c r="J15" s="38">
        <v>1.4599828850388115</v>
      </c>
      <c r="K15" s="64">
        <f>'[1]6) Kritische afstand'!$M$8</f>
        <v>1.2612805869975887</v>
      </c>
      <c r="L15" s="38">
        <v>2.224061253758197</v>
      </c>
      <c r="M15" s="38"/>
      <c r="N15" s="38"/>
      <c r="O15" s="38"/>
    </row>
    <row r="16" spans="1:15" ht="15" customHeight="1" x14ac:dyDescent="0.25">
      <c r="A16" s="8"/>
      <c r="B16" s="12"/>
      <c r="C16" s="2" t="s">
        <v>1</v>
      </c>
      <c r="D16" s="64">
        <v>-2.575315755385124</v>
      </c>
      <c r="E16" s="64">
        <v>-1.9341799904330648</v>
      </c>
      <c r="F16" s="64">
        <v>-2.7259203366928304</v>
      </c>
      <c r="G16" s="65"/>
      <c r="H16" s="65">
        <v>-1.4885438073934139</v>
      </c>
      <c r="I16" s="38"/>
      <c r="J16" s="38">
        <v>-3.2959390400149702</v>
      </c>
      <c r="K16" s="64">
        <f>-('[1]6) Kritische afstand'!$N$8*LOG(4)+'[1]6) Kritische afstand'!$O$8)</f>
        <v>-2.8108792414340544</v>
      </c>
      <c r="L16" s="38">
        <v>-5.5950151305987887</v>
      </c>
      <c r="M16" s="38"/>
      <c r="N16" s="38"/>
      <c r="O16" s="38"/>
    </row>
    <row r="17" spans="1:15" ht="15" customHeight="1" x14ac:dyDescent="0.25">
      <c r="A17" s="24"/>
      <c r="B17" s="25" t="s">
        <v>28</v>
      </c>
      <c r="C17" s="2" t="s">
        <v>2</v>
      </c>
      <c r="D17" s="65">
        <v>1.4343883877099726</v>
      </c>
      <c r="E17" s="64">
        <v>1.2675491964105008</v>
      </c>
      <c r="F17" s="64">
        <v>1.5274887696441908</v>
      </c>
      <c r="G17" s="65"/>
      <c r="H17" s="65">
        <v>1.0220490625245691</v>
      </c>
      <c r="I17" s="38"/>
      <c r="J17" s="38">
        <v>1.4599828850388115</v>
      </c>
      <c r="K17" s="64">
        <f>'[1]6) Kritische afstand'!$M$8</f>
        <v>1.2612805869975887</v>
      </c>
      <c r="L17" s="38">
        <v>2.224061253758197</v>
      </c>
      <c r="M17" s="38"/>
      <c r="N17" s="38"/>
      <c r="O17" s="38"/>
    </row>
    <row r="18" spans="1:15" ht="15" customHeight="1" x14ac:dyDescent="0.25">
      <c r="A18" s="8"/>
      <c r="B18" s="13"/>
      <c r="C18" s="2" t="s">
        <v>1</v>
      </c>
      <c r="D18" s="64">
        <v>-2.575315755385124</v>
      </c>
      <c r="E18" s="64">
        <v>-2.1038893580332347</v>
      </c>
      <c r="F18" s="64">
        <v>-2.9179021921224595</v>
      </c>
      <c r="G18" s="65"/>
      <c r="H18" s="65">
        <v>-1.7139428944541497</v>
      </c>
      <c r="I18" s="38"/>
      <c r="J18" s="38">
        <v>-3.3847267150954119</v>
      </c>
      <c r="K18" s="64">
        <f>-('[1]6) Kritische afstand'!$N$8*LOG(6)+'[1]6) Kritische afstand'!$O$8)</f>
        <v>-2.8637630939993755</v>
      </c>
      <c r="L18" s="38">
        <v>-5.6467929778044841</v>
      </c>
      <c r="M18" s="38"/>
      <c r="N18" s="38"/>
      <c r="O18" s="38"/>
    </row>
    <row r="19" spans="1:15" ht="15" customHeight="1" x14ac:dyDescent="0.25">
      <c r="A19" s="24"/>
      <c r="B19" s="25" t="s">
        <v>29</v>
      </c>
      <c r="C19" s="2" t="s">
        <v>2</v>
      </c>
      <c r="D19" s="64">
        <v>1.4343883877099726</v>
      </c>
      <c r="E19" s="64">
        <v>1.2675491964105008</v>
      </c>
      <c r="F19" s="64">
        <v>1.5274887696441908</v>
      </c>
      <c r="G19" s="65"/>
      <c r="H19" s="65">
        <v>1.0220490625245691</v>
      </c>
      <c r="I19" s="38"/>
      <c r="J19" s="38">
        <v>1.4599828850388115</v>
      </c>
      <c r="K19" s="64">
        <f>'[1]6) Kritische afstand'!$M$8</f>
        <v>1.2612805869975887</v>
      </c>
      <c r="L19" s="38">
        <v>2.224061253758197</v>
      </c>
      <c r="M19" s="38"/>
      <c r="N19" s="38"/>
      <c r="O19" s="38"/>
    </row>
    <row r="20" spans="1:15" ht="15" customHeight="1" x14ac:dyDescent="0.25">
      <c r="A20" s="8"/>
      <c r="B20" s="13"/>
      <c r="C20" s="2" t="s">
        <v>1</v>
      </c>
      <c r="D20" s="65">
        <v>-2.575315755385124</v>
      </c>
      <c r="E20" s="64">
        <v>-2.22430007059367</v>
      </c>
      <c r="F20" s="64">
        <v>-3.0541154862843842</v>
      </c>
      <c r="G20" s="65"/>
      <c r="H20" s="65">
        <v>-1.8738660917840515</v>
      </c>
      <c r="I20" s="38"/>
      <c r="J20" s="38">
        <v>-3.4477225730978298</v>
      </c>
      <c r="K20" s="64">
        <f>-('[1]6) Kritische afstand'!$N$8*LOG(8)+'[1]6) Kritische afstand'!$O$8)</f>
        <v>-2.9012847845246368</v>
      </c>
      <c r="L20" s="38">
        <v>-5.6835299450387957</v>
      </c>
      <c r="M20" s="38"/>
      <c r="N20" s="38"/>
      <c r="O20" s="38"/>
    </row>
    <row r="21" spans="1:15" ht="15" customHeight="1" x14ac:dyDescent="0.25">
      <c r="A21" s="24"/>
      <c r="B21" s="25" t="s">
        <v>30</v>
      </c>
      <c r="C21" s="2" t="s">
        <v>2</v>
      </c>
      <c r="D21" s="64">
        <v>1.4343883877099726</v>
      </c>
      <c r="E21" s="64">
        <v>1.2675491964105008</v>
      </c>
      <c r="F21" s="64">
        <v>1.5274887696441908</v>
      </c>
      <c r="G21" s="65"/>
      <c r="H21" s="65">
        <v>1.0220490625245691</v>
      </c>
      <c r="I21" s="38"/>
      <c r="J21" s="38">
        <v>1.4599828850388115</v>
      </c>
      <c r="K21" s="64">
        <f>'[1]6) Kritische afstand'!$M$8</f>
        <v>1.2612805869975887</v>
      </c>
      <c r="L21" s="38">
        <v>2.224061253758197</v>
      </c>
      <c r="M21" s="38"/>
      <c r="N21" s="38"/>
      <c r="O21" s="38"/>
    </row>
    <row r="22" spans="1:15" ht="15" customHeight="1" x14ac:dyDescent="0.25">
      <c r="A22" s="8"/>
      <c r="B22" s="13"/>
      <c r="C22" s="2" t="s">
        <v>1</v>
      </c>
      <c r="D22" s="64">
        <v>-2.575315755385124</v>
      </c>
      <c r="E22" s="64">
        <v>-2.3176978752883421</v>
      </c>
      <c r="F22" s="64">
        <v>-3.159770725543666</v>
      </c>
      <c r="G22" s="65"/>
      <c r="H22" s="65">
        <v>-1.9979121607155759</v>
      </c>
      <c r="I22" s="38"/>
      <c r="J22" s="38">
        <v>-3.4965859567384681</v>
      </c>
      <c r="K22" s="64">
        <f>-('[1]6) Kritische afstand'!$N$8*LOG(10)+'[1]6) Kritische afstand'!$O$8)</f>
        <v>-2.9303888687790449</v>
      </c>
      <c r="L22" s="38">
        <v>-5.7120253506207757</v>
      </c>
      <c r="M22" s="38"/>
      <c r="N22" s="38"/>
      <c r="O22" s="38"/>
    </row>
    <row r="23" spans="1:15" ht="15" customHeight="1" x14ac:dyDescent="0.25">
      <c r="A23" s="24"/>
      <c r="B23" s="25" t="s">
        <v>31</v>
      </c>
      <c r="C23" s="2" t="s">
        <v>2</v>
      </c>
      <c r="D23" s="65">
        <v>1.4343883877099726</v>
      </c>
      <c r="E23" s="64">
        <v>1.2675491964105008</v>
      </c>
      <c r="F23" s="64">
        <v>1.5274887696441908</v>
      </c>
      <c r="G23" s="65"/>
      <c r="H23" s="65">
        <v>1.0220490625245691</v>
      </c>
      <c r="I23" s="38"/>
      <c r="J23" s="38">
        <v>1.4599828850388115</v>
      </c>
      <c r="K23" s="64">
        <f>'[1]6) Kritische afstand'!$M$8</f>
        <v>1.2612805869975887</v>
      </c>
      <c r="L23" s="38">
        <v>2.224061253758197</v>
      </c>
      <c r="M23" s="38"/>
      <c r="N23" s="38"/>
      <c r="O23" s="38"/>
    </row>
    <row r="24" spans="1:15" ht="15" customHeight="1" x14ac:dyDescent="0.25">
      <c r="A24" s="8"/>
      <c r="B24" s="13"/>
      <c r="C24" s="2" t="s">
        <v>1</v>
      </c>
      <c r="D24" s="64">
        <v>-2.575315755385124</v>
      </c>
      <c r="E24" s="64">
        <v>-2.3940094381938399</v>
      </c>
      <c r="F24" s="64">
        <v>-3.2460973417140138</v>
      </c>
      <c r="G24" s="65"/>
      <c r="H24" s="65">
        <v>-2.0992651788447874</v>
      </c>
      <c r="I24" s="38"/>
      <c r="J24" s="38">
        <v>-3.5365102481782724</v>
      </c>
      <c r="K24" s="64">
        <f>-('[1]6) Kritische afstand'!$N$8*LOG(12)+'[1]6) Kritische afstand'!$O$8)</f>
        <v>-2.9541686370899578</v>
      </c>
      <c r="L24" s="38">
        <v>-5.7353077922444919</v>
      </c>
      <c r="M24" s="38"/>
      <c r="N24" s="38"/>
      <c r="O24" s="38"/>
    </row>
    <row r="25" spans="1:15" ht="15" customHeight="1" x14ac:dyDescent="0.25">
      <c r="A25" s="3" t="s">
        <v>22</v>
      </c>
      <c r="B25" s="9"/>
      <c r="C25" s="4"/>
      <c r="D25" s="66"/>
      <c r="E25" s="5"/>
      <c r="F25" s="5"/>
      <c r="G25" s="37"/>
      <c r="H25" s="35"/>
      <c r="I25" s="35"/>
      <c r="J25" s="35"/>
      <c r="K25" s="35"/>
      <c r="L25" s="35"/>
      <c r="M25" s="35"/>
      <c r="N25" s="35"/>
      <c r="O25" s="35"/>
    </row>
    <row r="26" spans="1:15" ht="15" customHeight="1" x14ac:dyDescent="0.35">
      <c r="A26" s="8"/>
      <c r="B26" s="12"/>
      <c r="C26" s="2" t="s">
        <v>5</v>
      </c>
      <c r="D26" s="65"/>
      <c r="E26" s="64"/>
      <c r="F26" s="65"/>
      <c r="G26" s="38"/>
      <c r="H26" s="38"/>
      <c r="I26" s="38"/>
      <c r="J26" s="38"/>
      <c r="K26" s="38"/>
      <c r="L26" s="38"/>
      <c r="M26" s="38"/>
      <c r="N26" s="38"/>
      <c r="O26" s="38"/>
    </row>
    <row r="27" spans="1:15" ht="15" customHeight="1" x14ac:dyDescent="0.35">
      <c r="A27" s="8"/>
      <c r="B27" s="12"/>
      <c r="C27" s="2" t="s">
        <v>23</v>
      </c>
      <c r="D27" s="65"/>
      <c r="E27" s="64"/>
      <c r="F27" s="65"/>
      <c r="G27" s="38"/>
      <c r="H27" s="38"/>
      <c r="I27" s="38"/>
      <c r="J27" s="38"/>
      <c r="K27" s="38"/>
      <c r="L27" s="38"/>
      <c r="M27" s="38"/>
      <c r="N27" s="38"/>
      <c r="O27" s="38"/>
    </row>
    <row r="28" spans="1:15" ht="15" customHeight="1" x14ac:dyDescent="0.35">
      <c r="A28" s="8"/>
      <c r="B28" s="13"/>
      <c r="C28" s="2" t="s">
        <v>6</v>
      </c>
      <c r="D28" s="65"/>
      <c r="E28" s="65"/>
      <c r="F28" s="65"/>
      <c r="G28" s="38"/>
      <c r="H28" s="38"/>
      <c r="I28" s="38"/>
      <c r="J28" s="38"/>
      <c r="K28" s="38"/>
      <c r="L28" s="38"/>
      <c r="M28" s="38"/>
      <c r="N28" s="38"/>
      <c r="O28" s="38"/>
    </row>
    <row r="29" spans="1:15" ht="15" customHeight="1" x14ac:dyDescent="0.25">
      <c r="A29" s="3" t="s">
        <v>9</v>
      </c>
      <c r="B29" s="9"/>
      <c r="C29" s="4"/>
      <c r="D29" s="66"/>
      <c r="E29" s="5"/>
      <c r="F29" s="5"/>
      <c r="G29" s="34"/>
      <c r="H29" s="35"/>
      <c r="I29" s="35"/>
      <c r="J29" s="35"/>
      <c r="K29" s="35"/>
      <c r="L29" s="35"/>
      <c r="M29" s="35"/>
      <c r="N29" s="35"/>
      <c r="O29" s="35"/>
    </row>
    <row r="30" spans="1:15" ht="15" customHeight="1" x14ac:dyDescent="0.25">
      <c r="A30" s="8"/>
      <c r="B30" s="12"/>
      <c r="C30" s="2" t="s">
        <v>2</v>
      </c>
      <c r="D30" s="65">
        <v>34.72204585489596</v>
      </c>
      <c r="E30" s="64">
        <v>36.991757321041781</v>
      </c>
      <c r="F30" s="65">
        <v>41.380058950237633</v>
      </c>
      <c r="G30" s="33"/>
      <c r="H30" s="33">
        <v>43.482706709665067</v>
      </c>
      <c r="I30" s="33"/>
      <c r="J30" s="33">
        <v>41.729036026354073</v>
      </c>
      <c r="K30" s="33">
        <v>40.523581684356486</v>
      </c>
      <c r="L30" s="33">
        <v>38.731431542968473</v>
      </c>
      <c r="M30" s="33"/>
      <c r="N30" s="33"/>
      <c r="O30" s="33"/>
    </row>
    <row r="31" spans="1:15" ht="15" customHeight="1" x14ac:dyDescent="0.25">
      <c r="A31" s="18"/>
      <c r="B31" s="21"/>
      <c r="C31" s="2" t="s">
        <v>1</v>
      </c>
      <c r="D31" s="65">
        <v>-127.40910679439196</v>
      </c>
      <c r="E31" s="64">
        <v>-152.85054999740993</v>
      </c>
      <c r="F31" s="65">
        <v>-187.2830377028406</v>
      </c>
      <c r="G31" s="33"/>
      <c r="H31" s="33">
        <v>-221.53219096812711</v>
      </c>
      <c r="I31" s="33"/>
      <c r="J31" s="33">
        <v>-228.34353969277581</v>
      </c>
      <c r="K31" s="33">
        <v>-226.0442430386139</v>
      </c>
      <c r="L31" s="33">
        <v>-219.41619351050093</v>
      </c>
      <c r="M31" s="33"/>
      <c r="N31" s="33"/>
      <c r="O31" s="33"/>
    </row>
    <row r="32" spans="1:15" ht="15" customHeight="1" x14ac:dyDescent="0.25">
      <c r="A32" s="3" t="s">
        <v>10</v>
      </c>
      <c r="B32" s="9"/>
      <c r="C32" s="4"/>
      <c r="D32" s="66"/>
      <c r="E32" s="5"/>
      <c r="F32" s="5"/>
      <c r="G32" s="36"/>
      <c r="H32" s="36"/>
      <c r="I32" s="39"/>
      <c r="J32" s="39"/>
      <c r="K32" s="39"/>
      <c r="L32" s="39"/>
      <c r="M32" s="39"/>
      <c r="N32" s="39"/>
      <c r="O32" s="39"/>
    </row>
    <row r="33" spans="1:15" ht="15" customHeight="1" x14ac:dyDescent="0.25">
      <c r="A33" s="8"/>
      <c r="B33" s="12"/>
      <c r="C33" s="2" t="s">
        <v>2</v>
      </c>
      <c r="D33" s="65">
        <v>31.188497437837199</v>
      </c>
      <c r="E33" s="64">
        <v>31.601402081686455</v>
      </c>
      <c r="F33" s="65">
        <v>35.464270865799413</v>
      </c>
      <c r="G33" s="33"/>
      <c r="H33" s="33">
        <v>37.601896681508862</v>
      </c>
      <c r="I33" s="33"/>
      <c r="J33" s="33">
        <v>36.866458355023987</v>
      </c>
      <c r="K33" s="33">
        <v>35.890019203612248</v>
      </c>
      <c r="L33" s="33">
        <v>35.524302603565921</v>
      </c>
      <c r="M33" s="33"/>
      <c r="N33" s="33"/>
      <c r="O33" s="33"/>
    </row>
    <row r="34" spans="1:15" ht="15" customHeight="1" x14ac:dyDescent="0.25">
      <c r="A34" s="18"/>
      <c r="B34" s="21"/>
      <c r="C34" s="2" t="s">
        <v>1</v>
      </c>
      <c r="D34" s="65">
        <v>-107.28425643312404</v>
      </c>
      <c r="E34" s="64">
        <v>-122.49375561064433</v>
      </c>
      <c r="F34" s="65">
        <v>-153.11163122981796</v>
      </c>
      <c r="G34" s="33"/>
      <c r="H34" s="33">
        <v>-184.47140195643368</v>
      </c>
      <c r="I34" s="33"/>
      <c r="J34" s="33">
        <v>-194.93458318222193</v>
      </c>
      <c r="K34" s="33">
        <v>-193.6477345716394</v>
      </c>
      <c r="L34" s="33">
        <v>-195.99495502325126</v>
      </c>
      <c r="M34" s="33"/>
      <c r="N34" s="33"/>
      <c r="O34" s="33"/>
    </row>
    <row r="35" spans="1:15" ht="15" customHeight="1" x14ac:dyDescent="0.25">
      <c r="A35" s="3" t="s">
        <v>8</v>
      </c>
      <c r="B35" s="9"/>
      <c r="C35" s="4"/>
      <c r="D35" s="66"/>
      <c r="E35" s="5"/>
      <c r="F35" s="5"/>
      <c r="G35" s="36"/>
      <c r="H35" s="36"/>
      <c r="I35" s="39"/>
      <c r="J35" s="39"/>
      <c r="K35" s="39"/>
      <c r="L35" s="39"/>
      <c r="M35" s="39"/>
      <c r="N35" s="39"/>
      <c r="O35" s="39"/>
    </row>
    <row r="36" spans="1:15" ht="15" customHeight="1" x14ac:dyDescent="0.25">
      <c r="A36" s="26"/>
      <c r="B36" s="17" t="s">
        <v>32</v>
      </c>
      <c r="C36" s="2" t="s">
        <v>2</v>
      </c>
      <c r="D36" s="64">
        <v>16.34829492542114</v>
      </c>
      <c r="E36" s="64">
        <v>18.020878976985802</v>
      </c>
      <c r="F36" s="65">
        <v>19.808469128414504</v>
      </c>
      <c r="G36" s="40"/>
      <c r="H36" s="40">
        <v>21.339243303940897</v>
      </c>
      <c r="I36" s="33"/>
      <c r="J36" s="33">
        <v>21.155010171811139</v>
      </c>
      <c r="K36" s="33">
        <v>18.840204441778429</v>
      </c>
      <c r="L36" s="33">
        <v>17.566729043784125</v>
      </c>
      <c r="M36" s="33"/>
      <c r="N36" s="33"/>
      <c r="O36" s="33"/>
    </row>
    <row r="37" spans="1:15" ht="15" customHeight="1" x14ac:dyDescent="0.25">
      <c r="A37" s="26"/>
      <c r="B37" s="17"/>
      <c r="C37" s="2" t="s">
        <v>1</v>
      </c>
      <c r="D37" s="64">
        <v>-47.149151075061766</v>
      </c>
      <c r="E37" s="64">
        <v>-60.812104813436505</v>
      </c>
      <c r="F37" s="65">
        <v>-74.073554064132821</v>
      </c>
      <c r="G37" s="40"/>
      <c r="H37" s="40">
        <v>-93.297012338425816</v>
      </c>
      <c r="I37" s="33"/>
      <c r="J37" s="33">
        <v>-100.38673081162051</v>
      </c>
      <c r="K37" s="33">
        <v>-89.787265803113399</v>
      </c>
      <c r="L37" s="33">
        <v>-85.926765042099575</v>
      </c>
      <c r="M37" s="33"/>
      <c r="N37" s="33"/>
      <c r="O37" s="33"/>
    </row>
    <row r="38" spans="1:15" ht="15" customHeight="1" x14ac:dyDescent="0.25">
      <c r="A38" s="26"/>
      <c r="B38" s="17" t="s">
        <v>33</v>
      </c>
      <c r="C38" s="2" t="s">
        <v>2</v>
      </c>
      <c r="D38" s="64">
        <v>20.873730321038625</v>
      </c>
      <c r="E38" s="64">
        <v>19.893867183342465</v>
      </c>
      <c r="F38" s="65">
        <v>23.758851283566688</v>
      </c>
      <c r="G38" s="40"/>
      <c r="H38" s="40">
        <v>24.940738043723584</v>
      </c>
      <c r="I38" s="33"/>
      <c r="J38" s="33">
        <v>25.498774348770112</v>
      </c>
      <c r="K38" s="33">
        <v>23.041814743450548</v>
      </c>
      <c r="L38" s="33">
        <v>21.527000736867883</v>
      </c>
      <c r="M38" s="33"/>
      <c r="N38" s="33"/>
      <c r="O38" s="33"/>
    </row>
    <row r="39" spans="1:15" ht="15" customHeight="1" x14ac:dyDescent="0.25">
      <c r="A39" s="26"/>
      <c r="B39" s="17"/>
      <c r="C39" s="2" t="s">
        <v>1</v>
      </c>
      <c r="D39" s="64">
        <v>-58.90894501876064</v>
      </c>
      <c r="E39" s="64">
        <v>-63.875593039300156</v>
      </c>
      <c r="F39" s="65">
        <v>-91.843314296661248</v>
      </c>
      <c r="G39" s="40"/>
      <c r="H39" s="40">
        <v>-112.26964774493223</v>
      </c>
      <c r="I39" s="33"/>
      <c r="J39" s="33">
        <v>-126.06169802934528</v>
      </c>
      <c r="K39" s="33">
        <v>-114.46936045918078</v>
      </c>
      <c r="L39" s="33">
        <v>-110.35593716165035</v>
      </c>
      <c r="M39" s="33"/>
      <c r="N39" s="33"/>
      <c r="O39" s="33"/>
    </row>
    <row r="40" spans="1:15" ht="15" customHeight="1" x14ac:dyDescent="0.25">
      <c r="A40" s="26"/>
      <c r="B40" s="17" t="s">
        <v>34</v>
      </c>
      <c r="C40" s="2" t="s">
        <v>2</v>
      </c>
      <c r="D40" s="64">
        <v>28.950682702650447</v>
      </c>
      <c r="E40" s="64">
        <v>28.388058307437159</v>
      </c>
      <c r="F40" s="65">
        <v>30.301430904224386</v>
      </c>
      <c r="G40" s="40"/>
      <c r="H40" s="40">
        <v>32.506003762167197</v>
      </c>
      <c r="I40" s="33"/>
      <c r="J40" s="33">
        <v>32.312087985254884</v>
      </c>
      <c r="K40" s="33">
        <v>30.175422436896731</v>
      </c>
      <c r="L40" s="33">
        <v>28.257879482567425</v>
      </c>
      <c r="M40" s="33"/>
      <c r="N40" s="33"/>
      <c r="O40" s="33"/>
    </row>
    <row r="41" spans="1:15" ht="15" customHeight="1" x14ac:dyDescent="0.25">
      <c r="A41" s="26"/>
      <c r="B41" s="17"/>
      <c r="C41" s="2" t="s">
        <v>1</v>
      </c>
      <c r="D41" s="64">
        <v>-99.330111727405836</v>
      </c>
      <c r="E41" s="64">
        <v>-108.8878789418046</v>
      </c>
      <c r="F41" s="65">
        <v>-128.96765503592587</v>
      </c>
      <c r="G41" s="40"/>
      <c r="H41" s="40">
        <v>-157.58627624234359</v>
      </c>
      <c r="I41" s="33"/>
      <c r="J41" s="33">
        <v>-168.68735748582088</v>
      </c>
      <c r="K41" s="33">
        <v>-159.54636566273587</v>
      </c>
      <c r="L41" s="33">
        <v>-150.87743765727362</v>
      </c>
      <c r="M41" s="33"/>
      <c r="N41" s="33"/>
      <c r="O41" s="33"/>
    </row>
    <row r="42" spans="1:15" ht="15" customHeight="1" x14ac:dyDescent="0.25">
      <c r="A42" s="26"/>
      <c r="B42" s="17" t="s">
        <v>35</v>
      </c>
      <c r="C42" s="2" t="s">
        <v>2</v>
      </c>
      <c r="D42" s="64">
        <v>39.69253784354423</v>
      </c>
      <c r="E42" s="64">
        <v>39.37101220437625</v>
      </c>
      <c r="F42" s="65">
        <v>41.380058950237647</v>
      </c>
      <c r="G42" s="40"/>
      <c r="H42" s="40">
        <v>43.482706709665045</v>
      </c>
      <c r="I42" s="33"/>
      <c r="J42" s="33">
        <v>42.930106121485387</v>
      </c>
      <c r="K42" s="33">
        <v>42.615616065152913</v>
      </c>
      <c r="L42" s="33">
        <v>42.892745969227057</v>
      </c>
      <c r="M42" s="33"/>
      <c r="N42" s="33"/>
      <c r="O42" s="33"/>
    </row>
    <row r="43" spans="1:15" ht="15" customHeight="1" x14ac:dyDescent="0.25">
      <c r="A43" s="26"/>
      <c r="B43" s="17"/>
      <c r="C43" s="2" t="s">
        <v>1</v>
      </c>
      <c r="D43" s="64">
        <v>-150.41715356859839</v>
      </c>
      <c r="E43" s="64">
        <v>-164.8111078322404</v>
      </c>
      <c r="F43" s="65">
        <v>-187.28303770284066</v>
      </c>
      <c r="G43" s="40"/>
      <c r="H43" s="40">
        <v>-221.53219096812694</v>
      </c>
      <c r="I43" s="33"/>
      <c r="J43" s="33">
        <v>-235.86157345109663</v>
      </c>
      <c r="K43" s="33">
        <v>-239.40321397842746</v>
      </c>
      <c r="L43" s="33">
        <v>-246.57935723202607</v>
      </c>
      <c r="M43" s="33"/>
      <c r="N43" s="33"/>
      <c r="O43" s="33"/>
    </row>
    <row r="44" spans="1:15" ht="15" customHeight="1" x14ac:dyDescent="0.25">
      <c r="A44" s="26"/>
      <c r="B44" s="17" t="s">
        <v>36</v>
      </c>
      <c r="C44" s="2" t="s">
        <v>2</v>
      </c>
      <c r="D44" s="64">
        <v>49.171595663409583</v>
      </c>
      <c r="E44" s="64">
        <v>48.27148795577849</v>
      </c>
      <c r="F44" s="65">
        <v>49.862792807577435</v>
      </c>
      <c r="G44" s="40"/>
      <c r="H44" s="40">
        <v>49.872090509403833</v>
      </c>
      <c r="I44" s="33"/>
      <c r="J44" s="33">
        <v>46.623914829540681</v>
      </c>
      <c r="K44" s="33">
        <v>50.249495475674877</v>
      </c>
      <c r="L44" s="33">
        <v>51.265990986494188</v>
      </c>
      <c r="M44" s="33"/>
      <c r="N44" s="33"/>
      <c r="O44" s="33"/>
    </row>
    <row r="45" spans="1:15" ht="15" customHeight="1" x14ac:dyDescent="0.25">
      <c r="A45" s="26"/>
      <c r="B45" s="17"/>
      <c r="C45" s="2" t="s">
        <v>1</v>
      </c>
      <c r="D45" s="64">
        <v>-202.07682959173201</v>
      </c>
      <c r="E45" s="64">
        <v>-218.83323970215147</v>
      </c>
      <c r="F45" s="65">
        <v>-242.03948166052976</v>
      </c>
      <c r="G45" s="40"/>
      <c r="H45" s="40">
        <v>-268.62001519812407</v>
      </c>
      <c r="I45" s="33"/>
      <c r="J45" s="33">
        <v>-267.94065616589955</v>
      </c>
      <c r="K45" s="33">
        <v>-297.42755761678598</v>
      </c>
      <c r="L45" s="33">
        <v>-311.18156086272313</v>
      </c>
      <c r="M45" s="33"/>
      <c r="N45" s="33"/>
      <c r="O45" s="33"/>
    </row>
    <row r="46" spans="1:15" ht="15" customHeight="1" x14ac:dyDescent="0.25">
      <c r="A46" s="26"/>
      <c r="B46" s="17" t="s">
        <v>37</v>
      </c>
      <c r="C46" s="2" t="s">
        <v>2</v>
      </c>
      <c r="D46" s="64">
        <v>53.981859673370131</v>
      </c>
      <c r="E46" s="64">
        <v>54.559349428419537</v>
      </c>
      <c r="F46" s="65">
        <v>52.384214316801327</v>
      </c>
      <c r="G46" s="40"/>
      <c r="H46" s="40">
        <v>55.908170755987925</v>
      </c>
      <c r="I46" s="33"/>
      <c r="J46" s="33">
        <v>34.696765883567181</v>
      </c>
      <c r="K46" s="33">
        <v>59.133766810384444</v>
      </c>
      <c r="L46" s="33">
        <v>53.000229233716738</v>
      </c>
      <c r="M46" s="33"/>
      <c r="N46" s="33"/>
      <c r="O46" s="33"/>
    </row>
    <row r="47" spans="1:15" ht="15" customHeight="1" x14ac:dyDescent="0.25">
      <c r="A47" s="26"/>
      <c r="B47" s="17"/>
      <c r="C47" s="2" t="s">
        <v>1</v>
      </c>
      <c r="D47" s="64">
        <v>-235.59181678426555</v>
      </c>
      <c r="E47" s="64">
        <v>-261.09176701033181</v>
      </c>
      <c r="F47" s="65">
        <v>-267.30823555382648</v>
      </c>
      <c r="G47" s="40"/>
      <c r="H47" s="40">
        <v>-316.6078150070656</v>
      </c>
      <c r="I47" s="33"/>
      <c r="J47" s="33">
        <v>-202.69854729316037</v>
      </c>
      <c r="K47" s="33">
        <v>-368.31585405844868</v>
      </c>
      <c r="L47" s="33">
        <v>-334.70219169111164</v>
      </c>
      <c r="M47" s="33"/>
      <c r="N47" s="33"/>
      <c r="O47" s="33"/>
    </row>
    <row r="48" spans="1:15" ht="15" customHeight="1" x14ac:dyDescent="0.25">
      <c r="A48" s="26"/>
      <c r="B48" s="17" t="s">
        <v>38</v>
      </c>
      <c r="C48" s="2" t="s">
        <v>2</v>
      </c>
      <c r="D48" s="64" t="s">
        <v>65</v>
      </c>
      <c r="E48" s="64" t="s">
        <v>65</v>
      </c>
      <c r="F48" s="65" t="s">
        <v>65</v>
      </c>
      <c r="G48" s="40" t="s">
        <v>65</v>
      </c>
      <c r="H48" s="33"/>
      <c r="I48" s="33"/>
      <c r="J48" s="33" t="s">
        <v>65</v>
      </c>
      <c r="K48" s="33" t="s">
        <v>65</v>
      </c>
      <c r="L48" s="33" t="s">
        <v>65</v>
      </c>
      <c r="M48" s="33"/>
      <c r="N48" s="33"/>
      <c r="O48" s="33"/>
    </row>
    <row r="49" spans="1:15" ht="15" customHeight="1" x14ac:dyDescent="0.25">
      <c r="A49" s="27"/>
      <c r="B49" s="20"/>
      <c r="C49" s="2" t="s">
        <v>1</v>
      </c>
      <c r="D49" s="64" t="s">
        <v>65</v>
      </c>
      <c r="E49" s="64" t="s">
        <v>65</v>
      </c>
      <c r="F49" s="65" t="s">
        <v>65</v>
      </c>
      <c r="G49" s="40" t="s">
        <v>65</v>
      </c>
      <c r="H49" s="33"/>
      <c r="I49" s="33"/>
      <c r="J49" s="33" t="s">
        <v>65</v>
      </c>
      <c r="K49" s="33" t="s">
        <v>65</v>
      </c>
      <c r="L49" s="33" t="s">
        <v>65</v>
      </c>
      <c r="M49" s="33"/>
      <c r="N49" s="33"/>
      <c r="O49" s="33"/>
    </row>
    <row r="50" spans="1:15" x14ac:dyDescent="0.25">
      <c r="A50" t="s">
        <v>39</v>
      </c>
    </row>
  </sheetData>
  <sheetProtection algorithmName="SHA-512" hashValue="CyZIwWbqn2Wo2jP3RbSCzIuikftTDyujMRRBm+2T3lVrhkfbkltcbLRIZJeNwq3LGA64H+KmndCYQHqryTTuiw==" saltValue="idOA6RZxP/rDwBfAEUg+uQ==" spinCount="100000" sheet="1" objects="1" scenarios="1"/>
  <pageMargins left="0.7" right="0.7" top="0.75" bottom="0.75" header="0.3" footer="0.3"/>
  <pageSetup paperSize="9" scale="68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" id="{F2F7C744-8B69-4536-8633-A4BDFFAC3819}">
            <xm:f>ISBLANK('\\VM001\RDS-HomeDrives\Projects\292_Multinozzle MS50 op MP100\MSS50 394 125 16\[MSS50 394 125 16.xlsm]1) Opvolgblad'!#REF!)</xm:f>
            <x14:dxf>
              <fill>
                <patternFill>
                  <bgColor rgb="FFFBAC8D"/>
                </patternFill>
              </fill>
            </x14:dxf>
          </x14:cfRule>
          <xm:sqref>E26:E28</xm:sqref>
        </x14:conditionalFormatting>
        <x14:conditionalFormatting xmlns:xm="http://schemas.microsoft.com/office/excel/2006/main">
          <x14:cfRule type="expression" priority="7" id="{2ADAC1D2-BD79-4AD8-BC9D-2910D109880B}">
            <xm:f>ISBLANK('\\VM001\RDS-HomeDrives\Projects\292_Multinozzle MS50 op MP100\MSS50 394 125 16\[MSS50 394 125 16.xlsm]1) Opvolgblad'!#REF!)</xm:f>
            <x14:dxf>
              <fill>
                <patternFill>
                  <bgColor rgb="FFFBAC8D"/>
                </patternFill>
              </fill>
            </x14:dxf>
          </x14:cfRule>
          <xm:sqref>E30:E31</xm:sqref>
        </x14:conditionalFormatting>
        <x14:conditionalFormatting xmlns:xm="http://schemas.microsoft.com/office/excel/2006/main">
          <x14:cfRule type="expression" priority="6" id="{7ABB869D-B96F-4C30-9C99-C9BB8B5384ED}">
            <xm:f>ISBLANK('\\VM001\RDS-HomeDrives\Projects\292_Multinozzle MS50 op MP100\MSS50 394 125 16\[MSS50 394 125 16.xlsm]1) Opvolgblad'!#REF!)</xm:f>
            <x14:dxf>
              <fill>
                <patternFill>
                  <bgColor rgb="FFFBAC8D"/>
                </patternFill>
              </fill>
            </x14:dxf>
          </x14:cfRule>
          <xm:sqref>E33:E34</xm:sqref>
        </x14:conditionalFormatting>
        <x14:conditionalFormatting xmlns:xm="http://schemas.microsoft.com/office/excel/2006/main">
          <x14:cfRule type="expression" priority="5" id="{BB85708C-7360-4AC4-B030-A591F3D0327A}">
            <xm:f>ISBLANK('\\VM001\RDS-HomeDrives\Projects\292_Multinozzle MS50 op MP100\MSS50 394 125 16\[MSS50 394 125 16.xlsm]1) Opvolgblad'!#REF!)</xm:f>
            <x14:dxf>
              <fill>
                <patternFill>
                  <bgColor rgb="FFFBAC8D"/>
                </patternFill>
              </fill>
            </x14:dxf>
          </x14:cfRule>
          <xm:sqref>E36:E49</xm:sqref>
        </x14:conditionalFormatting>
        <x14:conditionalFormatting xmlns:xm="http://schemas.microsoft.com/office/excel/2006/main">
          <x14:cfRule type="expression" priority="4" id="{BC887444-2910-4730-A0D8-E70F5DD0653B}">
            <xm:f>ISBLANK('K:\R&amp;D\Producten\3  Wervelroosters\WT100S - WT100T - WT500S\[Meting_WT101S_200-494_24schoepen_ExternalSwirl_v01.xlsm]1) Opvolgblad'!#REF!)</xm:f>
            <x14:dxf>
              <fill>
                <patternFill>
                  <bgColor rgb="FFFBAC8D"/>
                </patternFill>
              </fill>
            </x14:dxf>
          </x14:cfRule>
          <xm:sqref>E15:E24</xm:sqref>
        </x14:conditionalFormatting>
        <x14:conditionalFormatting xmlns:xm="http://schemas.microsoft.com/office/excel/2006/main">
          <x14:cfRule type="expression" priority="2" id="{32BA302D-268F-4DD9-978D-070157238CF0}">
            <xm:f>ISBLANK('K:\R&amp;D\Producten\3  Wervelroosters\WT100S - WT100T - WT500S\[Meting_WT101S_200-494_24schoepen_ExternalSwirl_v01.xlsm]1) Opvolgblad'!#REF!)</xm:f>
            <x14:dxf>
              <fill>
                <patternFill>
                  <bgColor rgb="FFFBAC8D"/>
                </patternFill>
              </fill>
            </x14:dxf>
          </x14:cfRule>
          <xm:sqref>K15:K24</xm:sqref>
        </x14:conditionalFormatting>
        <x14:conditionalFormatting xmlns:xm="http://schemas.microsoft.com/office/excel/2006/main">
          <x14:cfRule type="expression" priority="1" id="{21C69C9C-9041-4B69-AD01-F325DD110DFB}">
            <xm:f>ISBLANK('K:\R&amp;D\Producten\3  Wervelroosters\WT100S - WT100T - WT500S\[Meting_WT101S_200-494_24schoepen_ExternalSwirl_v01.xlsm]1) Opvolgblad'!#REF!)</xm:f>
            <x14:dxf>
              <fill>
                <patternFill>
                  <bgColor rgb="FFFBAC8D"/>
                </patternFill>
              </fill>
            </x14:dxf>
          </x14:cfRule>
          <xm:sqref>F15:F24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29"/>
  <sheetViews>
    <sheetView workbookViewId="0">
      <selection activeCell="J16" sqref="J16"/>
    </sheetView>
  </sheetViews>
  <sheetFormatPr defaultRowHeight="12" x14ac:dyDescent="0.2"/>
  <cols>
    <col min="1" max="1" width="9.140625" style="44"/>
    <col min="2" max="2" width="13.85546875" style="44" bestFit="1" customWidth="1"/>
    <col min="3" max="3" width="13.42578125" style="44" bestFit="1" customWidth="1"/>
    <col min="4" max="4" width="14.85546875" style="44" bestFit="1" customWidth="1"/>
    <col min="5" max="5" width="13.42578125" style="44" bestFit="1" customWidth="1"/>
    <col min="6" max="11" width="10.85546875" style="44" bestFit="1" customWidth="1"/>
    <col min="12" max="16384" width="9.140625" style="42"/>
  </cols>
  <sheetData>
    <row r="1" spans="1:15" x14ac:dyDescent="0.2">
      <c r="A1" s="44" t="s">
        <v>40</v>
      </c>
    </row>
    <row r="2" spans="1:15" x14ac:dyDescent="0.2">
      <c r="A2" s="45" t="str">
        <f>IF(ISBLANK(TechData!C1),"",TechData!C1)</f>
        <v>Type</v>
      </c>
      <c r="B2" s="53" t="str">
        <f>IF(ISBLANK(TechData!D1),"",TechData!D1)</f>
        <v>MSS</v>
      </c>
      <c r="C2" s="53" t="str">
        <f>IF(ISBLANK(TechData!E1),"",TechData!E1)</f>
        <v>MSS</v>
      </c>
      <c r="D2" s="53" t="str">
        <f>IF(ISBLANK(TechData!F1),"",TechData!F1)</f>
        <v>MSS</v>
      </c>
      <c r="E2" s="53" t="str">
        <f>IF(ISBLANK(TechData!G1),"",TechData!G1)</f>
        <v>MSS</v>
      </c>
      <c r="F2" s="53" t="str">
        <f>IF(ISBLANK(TechData!H1),"",TechData!H1)</f>
        <v>MSS</v>
      </c>
      <c r="G2" s="53" t="str">
        <f>IF(ISBLANK(TechData!I1),"",TechData!I1)</f>
        <v>MSS</v>
      </c>
      <c r="H2" s="53" t="str">
        <f>IF(ISBLANK(TechData!J1),"",TechData!J1)</f>
        <v>MSS</v>
      </c>
      <c r="I2" s="53" t="str">
        <f>IF(ISBLANK(TechData!K1),"",TechData!K1)</f>
        <v>MSH</v>
      </c>
      <c r="J2" s="53" t="str">
        <f>IF(ISBLANK(TechData!L1),"",TechData!L1)</f>
        <v>MSH</v>
      </c>
      <c r="K2" s="53" t="str">
        <f>IF(ISBLANK(TechData!M1),"",TechData!M1)</f>
        <v/>
      </c>
    </row>
    <row r="3" spans="1:15" x14ac:dyDescent="0.2">
      <c r="A3" s="45" t="str">
        <f>IF(ISBLANK(TechData!C2),"",TechData!C2)</f>
        <v>Size</v>
      </c>
      <c r="B3" s="53">
        <f>IF(ISBLANK(TechData!D2),"",TechData!D2)</f>
        <v>294</v>
      </c>
      <c r="C3" s="53">
        <f>IF(ISBLANK(TechData!E2),"",TechData!E2)</f>
        <v>394</v>
      </c>
      <c r="D3" s="53">
        <f>IF(ISBLANK(TechData!F2),"",TechData!F2)</f>
        <v>394</v>
      </c>
      <c r="E3" s="53">
        <f>IF(ISBLANK(TechData!G2),"",TechData!G2)</f>
        <v>494</v>
      </c>
      <c r="F3" s="53">
        <f>IF(ISBLANK(TechData!H2),"",TechData!H2)</f>
        <v>494</v>
      </c>
      <c r="G3" s="53">
        <f>IF(ISBLANK(TechData!I2),"",TechData!I2)</f>
        <v>594</v>
      </c>
      <c r="H3" s="53">
        <f>IF(ISBLANK(TechData!J2),"",TechData!J2)</f>
        <v>594</v>
      </c>
      <c r="I3" s="53">
        <f>IF(ISBLANK(TechData!K2),"",TechData!K2)</f>
        <v>594</v>
      </c>
      <c r="J3" s="53">
        <f>IF(ISBLANK(TechData!L2),"",TechData!L2)</f>
        <v>594</v>
      </c>
      <c r="K3" s="53" t="str">
        <f>IF(ISBLANK(TechData!M2),"",TechData!M2)</f>
        <v/>
      </c>
      <c r="O3" s="43"/>
    </row>
    <row r="4" spans="1:15" x14ac:dyDescent="0.2">
      <c r="A4" s="45" t="str">
        <f>IF(ISBLANK(TechData!C3),"",TechData!C3)</f>
        <v>Plenum</v>
      </c>
      <c r="B4" s="53" t="str">
        <f>IF(ISBLANK(TechData!D3),"",TechData!D3)</f>
        <v>MP200S</v>
      </c>
      <c r="C4" s="53" t="str">
        <f>IF(ISBLANK(TechData!E3),"",TechData!E3)</f>
        <v>MP200S</v>
      </c>
      <c r="D4" s="53" t="str">
        <f>IF(ISBLANK(TechData!F3),"",TechData!F3)</f>
        <v>MP200S</v>
      </c>
      <c r="E4" s="53" t="str">
        <f>IF(ISBLANK(TechData!G3),"",TechData!G3)</f>
        <v>MP200S</v>
      </c>
      <c r="F4" s="53" t="str">
        <f>IF(ISBLANK(TechData!H3),"",TechData!H3)</f>
        <v>MP200S</v>
      </c>
      <c r="G4" s="53" t="str">
        <f>IF(ISBLANK(TechData!I3),"",TechData!I3)</f>
        <v>MP200S</v>
      </c>
      <c r="H4" s="53" t="str">
        <f>IF(ISBLANK(TechData!J3),"",TechData!J3)</f>
        <v>MP200S</v>
      </c>
      <c r="I4" s="53" t="str">
        <f>IF(ISBLANK(TechData!K3),"",TechData!K3)</f>
        <v>MP210S</v>
      </c>
      <c r="J4" s="53" t="str">
        <f>IF(ISBLANK(TechData!L3),"",TechData!L3)</f>
        <v>MP210S</v>
      </c>
      <c r="K4" s="53" t="str">
        <f>IF(ISBLANK(TechData!M3),"",TechData!M3)</f>
        <v/>
      </c>
    </row>
    <row r="5" spans="1:15" x14ac:dyDescent="0.2">
      <c r="A5" s="45" t="str">
        <f>IF(ISBLANK(TechData!C4),"",TechData!C4)</f>
        <v>ø spigot</v>
      </c>
      <c r="B5" s="53">
        <f>IF(ISBLANK(TechData!D4),"",TechData!D4)</f>
        <v>125</v>
      </c>
      <c r="C5" s="53">
        <f>IF(ISBLANK(TechData!E4),"",TechData!E4)</f>
        <v>125</v>
      </c>
      <c r="D5" s="53">
        <f>IF(ISBLANK(TechData!F4),"",TechData!F4)</f>
        <v>160</v>
      </c>
      <c r="E5" s="53">
        <f>IF(ISBLANK(TechData!G4),"",TechData!G4)</f>
        <v>200</v>
      </c>
      <c r="F5" s="53">
        <f>IF(ISBLANK(TechData!H4),"",TechData!H4)</f>
        <v>200</v>
      </c>
      <c r="G5" s="53">
        <f>IF(ISBLANK(TechData!I4),"",TechData!I4)</f>
        <v>250</v>
      </c>
      <c r="H5" s="53">
        <f>IF(ISBLANK(TechData!J4),"",TechData!J4)</f>
        <v>250</v>
      </c>
      <c r="I5" s="53">
        <f>IF(ISBLANK(TechData!K4),"",TechData!K4)</f>
        <v>250</v>
      </c>
      <c r="J5" s="53">
        <f>IF(ISBLANK(TechData!L4),"",TechData!L4)</f>
        <v>315</v>
      </c>
      <c r="K5" s="53" t="str">
        <f>IF(ISBLANK(TechData!M4),"",TechData!M4)</f>
        <v/>
      </c>
    </row>
    <row r="6" spans="1:15" x14ac:dyDescent="0.2">
      <c r="A6" s="52" t="str">
        <f>IF(ISBLANK(TechData!C5),"",TechData!C5)</f>
        <v># nozzles</v>
      </c>
      <c r="B6" s="53">
        <f>IF(ISBLANK(TechData!D5),"",TechData!D5)</f>
        <v>9</v>
      </c>
      <c r="C6" s="53">
        <f>IF(ISBLANK(TechData!E5),"",TechData!E5)</f>
        <v>16</v>
      </c>
      <c r="D6" s="53">
        <f>IF(ISBLANK(TechData!F5),"",TechData!F5)</f>
        <v>25</v>
      </c>
      <c r="E6" s="53">
        <f>IF(ISBLANK(TechData!G5),"",TechData!G5)</f>
        <v>36</v>
      </c>
      <c r="F6" s="53">
        <f>IF(ISBLANK(TechData!H5),"",TechData!H5)</f>
        <v>49</v>
      </c>
      <c r="G6" s="53">
        <f>IF(ISBLANK(TechData!I5),"",TechData!I5)</f>
        <v>64</v>
      </c>
      <c r="H6" s="53">
        <f>IF(ISBLANK(TechData!J5),"",TechData!J5)</f>
        <v>81</v>
      </c>
      <c r="I6" s="53">
        <f>IF(ISBLANK(TechData!K5),"",TechData!K5)</f>
        <v>81</v>
      </c>
      <c r="J6" s="53">
        <f>IF(ISBLANK(TechData!L5),"",TechData!L5)</f>
        <v>94</v>
      </c>
      <c r="K6" s="53" t="str">
        <f>IF(ISBLANK(TechData!M5),"",TechData!M5)</f>
        <v/>
      </c>
    </row>
    <row r="7" spans="1:15" ht="15" x14ac:dyDescent="0.25">
      <c r="A7" s="47" t="s">
        <v>2</v>
      </c>
    </row>
    <row r="8" spans="1:15" x14ac:dyDescent="0.2">
      <c r="A8" s="46" t="s">
        <v>41</v>
      </c>
    </row>
    <row r="9" spans="1:15" x14ac:dyDescent="0.2">
      <c r="A9" s="48">
        <v>4</v>
      </c>
      <c r="B9" s="49">
        <f>IF(ISBLANK(TechData!D15),"",TechData!D15)</f>
        <v>1.4343883877099726</v>
      </c>
      <c r="C9" s="49">
        <f>IF(ISBLANK(TechData!E15),"",TechData!E15)</f>
        <v>1.2675491964105008</v>
      </c>
      <c r="D9" s="49">
        <f>IF(ISBLANK(TechData!F15),"",TechData!F15)</f>
        <v>1.5274887696441908</v>
      </c>
      <c r="E9" s="49" t="str">
        <f>IF(ISBLANK(TechData!G15),"",TechData!G15)</f>
        <v/>
      </c>
      <c r="F9" s="49">
        <f>IF(ISBLANK(TechData!H15),"",TechData!H15)</f>
        <v>1.0220490625245691</v>
      </c>
      <c r="G9" s="49" t="str">
        <f>IF(ISBLANK(TechData!I15),"",TechData!I15)</f>
        <v/>
      </c>
      <c r="H9" s="49">
        <f>IF(ISBLANK(TechData!J15),"",TechData!J15)</f>
        <v>1.4599828850388115</v>
      </c>
      <c r="I9" s="49">
        <f>IF(ISBLANK(TechData!K15),"",TechData!K15)</f>
        <v>1.2612805869975887</v>
      </c>
      <c r="J9" s="49">
        <f>IF(ISBLANK(TechData!L15),"",TechData!L15)</f>
        <v>2.224061253758197</v>
      </c>
      <c r="K9" s="49" t="str">
        <f>IF(ISBLANK(TechData!M15),"",TechData!M15)</f>
        <v/>
      </c>
    </row>
    <row r="10" spans="1:15" x14ac:dyDescent="0.2">
      <c r="A10" s="48">
        <v>6</v>
      </c>
      <c r="B10" s="49">
        <f>IF(ISBLANK(TechData!D17),"",TechData!D17)</f>
        <v>1.4343883877099726</v>
      </c>
      <c r="C10" s="49">
        <f>IF(ISBLANK(TechData!E17),"",TechData!E17)</f>
        <v>1.2675491964105008</v>
      </c>
      <c r="D10" s="49">
        <f>IF(ISBLANK(TechData!F17),"",TechData!F17)</f>
        <v>1.5274887696441908</v>
      </c>
      <c r="E10" s="49" t="str">
        <f>IF(ISBLANK(TechData!G17),"",TechData!G17)</f>
        <v/>
      </c>
      <c r="F10" s="49">
        <f>IF(ISBLANK(TechData!H17),"",TechData!H17)</f>
        <v>1.0220490625245691</v>
      </c>
      <c r="G10" s="49" t="str">
        <f>IF(ISBLANK(TechData!I17),"",TechData!I17)</f>
        <v/>
      </c>
      <c r="H10" s="49">
        <f>IF(ISBLANK(TechData!J17),"",TechData!J17)</f>
        <v>1.4599828850388115</v>
      </c>
      <c r="I10" s="49">
        <f>IF(ISBLANK(TechData!K17),"",TechData!K17)</f>
        <v>1.2612805869975887</v>
      </c>
      <c r="J10" s="49">
        <f>IF(ISBLANK(TechData!L17),"",TechData!L17)</f>
        <v>2.224061253758197</v>
      </c>
      <c r="K10" s="49" t="str">
        <f>IF(ISBLANK(TechData!M17),"",TechData!M17)</f>
        <v/>
      </c>
    </row>
    <row r="11" spans="1:15" x14ac:dyDescent="0.2">
      <c r="A11" s="48">
        <v>8</v>
      </c>
      <c r="B11" s="49">
        <f>IF(ISBLANK(TechData!D19),"",TechData!D19)</f>
        <v>1.4343883877099726</v>
      </c>
      <c r="C11" s="49">
        <f>IF(ISBLANK(TechData!E19),"",TechData!E19)</f>
        <v>1.2675491964105008</v>
      </c>
      <c r="D11" s="49">
        <f>IF(ISBLANK(TechData!F19),"",TechData!F19)</f>
        <v>1.5274887696441908</v>
      </c>
      <c r="E11" s="49" t="str">
        <f>IF(ISBLANK(TechData!G19),"",TechData!G19)</f>
        <v/>
      </c>
      <c r="F11" s="49">
        <f>IF(ISBLANK(TechData!H19),"",TechData!H19)</f>
        <v>1.0220490625245691</v>
      </c>
      <c r="G11" s="49" t="str">
        <f>IF(ISBLANK(TechData!I19),"",TechData!I19)</f>
        <v/>
      </c>
      <c r="H11" s="49">
        <f>IF(ISBLANK(TechData!J19),"",TechData!J19)</f>
        <v>1.4599828850388115</v>
      </c>
      <c r="I11" s="49">
        <f>IF(ISBLANK(TechData!K19),"",TechData!K19)</f>
        <v>1.2612805869975887</v>
      </c>
      <c r="J11" s="49">
        <f>IF(ISBLANK(TechData!L19),"",TechData!L19)</f>
        <v>2.224061253758197</v>
      </c>
      <c r="K11" s="49" t="str">
        <f>IF(ISBLANK(TechData!M19),"",TechData!M19)</f>
        <v/>
      </c>
    </row>
    <row r="12" spans="1:15" x14ac:dyDescent="0.2">
      <c r="A12" s="48">
        <v>10</v>
      </c>
      <c r="B12" s="49">
        <f>IF(ISBLANK(TechData!D21),"",TechData!D21)</f>
        <v>1.4343883877099726</v>
      </c>
      <c r="C12" s="49">
        <f>IF(ISBLANK(TechData!E21),"",TechData!E21)</f>
        <v>1.2675491964105008</v>
      </c>
      <c r="D12" s="49">
        <f>IF(ISBLANK(TechData!F21),"",TechData!F21)</f>
        <v>1.5274887696441908</v>
      </c>
      <c r="E12" s="49" t="str">
        <f>IF(ISBLANK(TechData!G21),"",TechData!G21)</f>
        <v/>
      </c>
      <c r="F12" s="49">
        <f>IF(ISBLANK(TechData!H21),"",TechData!H21)</f>
        <v>1.0220490625245691</v>
      </c>
      <c r="G12" s="49" t="str">
        <f>IF(ISBLANK(TechData!I21),"",TechData!I21)</f>
        <v/>
      </c>
      <c r="H12" s="49">
        <f>IF(ISBLANK(TechData!J21),"",TechData!J21)</f>
        <v>1.4599828850388115</v>
      </c>
      <c r="I12" s="49">
        <f>IF(ISBLANK(TechData!K21),"",TechData!K21)</f>
        <v>1.2612805869975887</v>
      </c>
      <c r="J12" s="49">
        <f>IF(ISBLANK(TechData!L21),"",TechData!L21)</f>
        <v>2.224061253758197</v>
      </c>
      <c r="K12" s="49" t="str">
        <f>IF(ISBLANK(TechData!M21),"",TechData!M21)</f>
        <v/>
      </c>
    </row>
    <row r="13" spans="1:15" x14ac:dyDescent="0.2">
      <c r="A13" s="48">
        <v>12</v>
      </c>
      <c r="B13" s="49">
        <f>IF(ISBLANK(TechData!D23),"",TechData!D23)</f>
        <v>1.4343883877099726</v>
      </c>
      <c r="C13" s="49">
        <f>IF(ISBLANK(TechData!E23),"",TechData!E23)</f>
        <v>1.2675491964105008</v>
      </c>
      <c r="D13" s="49">
        <f>IF(ISBLANK(TechData!F23),"",TechData!F23)</f>
        <v>1.5274887696441908</v>
      </c>
      <c r="E13" s="49" t="str">
        <f>IF(ISBLANK(TechData!G23),"",TechData!G23)</f>
        <v/>
      </c>
      <c r="F13" s="49">
        <f>IF(ISBLANK(TechData!H23),"",TechData!H23)</f>
        <v>1.0220490625245691</v>
      </c>
      <c r="G13" s="49" t="str">
        <f>IF(ISBLANK(TechData!I23),"",TechData!I23)</f>
        <v/>
      </c>
      <c r="H13" s="49">
        <f>IF(ISBLANK(TechData!J23),"",TechData!J23)</f>
        <v>1.4599828850388115</v>
      </c>
      <c r="I13" s="49">
        <f>IF(ISBLANK(TechData!K23),"",TechData!K23)</f>
        <v>1.2612805869975887</v>
      </c>
      <c r="J13" s="49">
        <f>IF(ISBLANK(TechData!L23),"",TechData!L23)</f>
        <v>2.224061253758197</v>
      </c>
      <c r="K13" s="49" t="str">
        <f>IF(ISBLANK(TechData!M23),"",TechData!M23)</f>
        <v/>
      </c>
    </row>
    <row r="14" spans="1:15" x14ac:dyDescent="0.2">
      <c r="B14" s="50"/>
      <c r="C14" s="50"/>
      <c r="D14" s="50"/>
      <c r="E14" s="50"/>
      <c r="F14" s="50"/>
      <c r="G14" s="50"/>
      <c r="H14" s="50"/>
      <c r="I14" s="50"/>
      <c r="J14" s="50"/>
      <c r="K14" s="50"/>
    </row>
    <row r="15" spans="1:15" ht="15" x14ac:dyDescent="0.25">
      <c r="A15" s="47" t="s">
        <v>1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</row>
    <row r="16" spans="1:15" x14ac:dyDescent="0.2">
      <c r="A16" s="48">
        <v>4</v>
      </c>
      <c r="B16" s="49">
        <f>IF(ISBLANK(TechData!D16),"",TechData!D16)</f>
        <v>-2.575315755385124</v>
      </c>
      <c r="C16" s="49">
        <f>IF(ISBLANK(TechData!E16),"",TechData!E16)</f>
        <v>-1.9341799904330648</v>
      </c>
      <c r="D16" s="49">
        <f>IF(ISBLANK(TechData!F16),"",TechData!F16)</f>
        <v>-2.7259203366928304</v>
      </c>
      <c r="E16" s="49" t="str">
        <f>IF(ISBLANK(TechData!G16),"",TechData!G16)</f>
        <v/>
      </c>
      <c r="F16" s="49">
        <f>IF(ISBLANK(TechData!H16),"",TechData!H16)</f>
        <v>-1.4885438073934139</v>
      </c>
      <c r="G16" s="49" t="str">
        <f>IF(ISBLANK(TechData!I16),"",TechData!I16)</f>
        <v/>
      </c>
      <c r="H16" s="49">
        <f>IF(ISBLANK(TechData!J16),"",TechData!J16)</f>
        <v>-3.2959390400149702</v>
      </c>
      <c r="I16" s="49">
        <f>IF(ISBLANK(TechData!K16),"",TechData!K16)</f>
        <v>-2.8108792414340544</v>
      </c>
      <c r="J16" s="49">
        <f>IF(ISBLANK(TechData!L16),"",TechData!L16)</f>
        <v>-5.5950151305987887</v>
      </c>
      <c r="K16" s="49" t="str">
        <f>IF(ISBLANK(TechData!M16),"",TechData!M16)</f>
        <v/>
      </c>
    </row>
    <row r="17" spans="1:11" x14ac:dyDescent="0.2">
      <c r="A17" s="48">
        <v>6</v>
      </c>
      <c r="B17" s="49">
        <f>IF(ISBLANK(TechData!D18),"",TechData!D18)</f>
        <v>-2.575315755385124</v>
      </c>
      <c r="C17" s="49">
        <f>IF(ISBLANK(TechData!E18),"",TechData!E18)</f>
        <v>-2.1038893580332347</v>
      </c>
      <c r="D17" s="49">
        <f>IF(ISBLANK(TechData!F18),"",TechData!F18)</f>
        <v>-2.9179021921224595</v>
      </c>
      <c r="E17" s="49" t="str">
        <f>IF(ISBLANK(TechData!G18),"",TechData!G18)</f>
        <v/>
      </c>
      <c r="F17" s="49">
        <f>IF(ISBLANK(TechData!H18),"",TechData!H18)</f>
        <v>-1.7139428944541497</v>
      </c>
      <c r="G17" s="49" t="str">
        <f>IF(ISBLANK(TechData!I18),"",TechData!I18)</f>
        <v/>
      </c>
      <c r="H17" s="49">
        <f>IF(ISBLANK(TechData!J18),"",TechData!J18)</f>
        <v>-3.3847267150954119</v>
      </c>
      <c r="I17" s="49">
        <f>IF(ISBLANK(TechData!K18),"",TechData!K18)</f>
        <v>-2.8637630939993755</v>
      </c>
      <c r="J17" s="49">
        <f>IF(ISBLANK(TechData!L18),"",TechData!L18)</f>
        <v>-5.6467929778044841</v>
      </c>
      <c r="K17" s="49" t="str">
        <f>IF(ISBLANK(TechData!M18),"",TechData!M18)</f>
        <v/>
      </c>
    </row>
    <row r="18" spans="1:11" x14ac:dyDescent="0.2">
      <c r="A18" s="48">
        <v>8</v>
      </c>
      <c r="B18" s="49">
        <f>IF(ISBLANK(TechData!D20),"",TechData!D20)</f>
        <v>-2.575315755385124</v>
      </c>
      <c r="C18" s="49">
        <f>IF(ISBLANK(TechData!E20),"",TechData!E20)</f>
        <v>-2.22430007059367</v>
      </c>
      <c r="D18" s="49">
        <f>IF(ISBLANK(TechData!F20),"",TechData!F20)</f>
        <v>-3.0541154862843842</v>
      </c>
      <c r="E18" s="49" t="str">
        <f>IF(ISBLANK(TechData!G20),"",TechData!G20)</f>
        <v/>
      </c>
      <c r="F18" s="49">
        <f>IF(ISBLANK(TechData!H20),"",TechData!H20)</f>
        <v>-1.8738660917840515</v>
      </c>
      <c r="G18" s="49" t="str">
        <f>IF(ISBLANK(TechData!I20),"",TechData!I20)</f>
        <v/>
      </c>
      <c r="H18" s="49">
        <f>IF(ISBLANK(TechData!J20),"",TechData!J20)</f>
        <v>-3.4477225730978298</v>
      </c>
      <c r="I18" s="49">
        <f>IF(ISBLANK(TechData!K20),"",TechData!K20)</f>
        <v>-2.9012847845246368</v>
      </c>
      <c r="J18" s="49">
        <f>IF(ISBLANK(TechData!L20),"",TechData!L20)</f>
        <v>-5.6835299450387957</v>
      </c>
      <c r="K18" s="49" t="str">
        <f>IF(ISBLANK(TechData!M20),"",TechData!M20)</f>
        <v/>
      </c>
    </row>
    <row r="19" spans="1:11" x14ac:dyDescent="0.2">
      <c r="A19" s="48">
        <v>10</v>
      </c>
      <c r="B19" s="49">
        <f>IF(ISBLANK(TechData!D22),"",TechData!D22)</f>
        <v>-2.575315755385124</v>
      </c>
      <c r="C19" s="49">
        <f>IF(ISBLANK(TechData!E22),"",TechData!E22)</f>
        <v>-2.3176978752883421</v>
      </c>
      <c r="D19" s="49">
        <f>IF(ISBLANK(TechData!F22),"",TechData!F22)</f>
        <v>-3.159770725543666</v>
      </c>
      <c r="E19" s="49" t="str">
        <f>IF(ISBLANK(TechData!G22),"",TechData!G22)</f>
        <v/>
      </c>
      <c r="F19" s="49">
        <f>IF(ISBLANK(TechData!H22),"",TechData!H22)</f>
        <v>-1.9979121607155759</v>
      </c>
      <c r="G19" s="49" t="str">
        <f>IF(ISBLANK(TechData!I22),"",TechData!I22)</f>
        <v/>
      </c>
      <c r="H19" s="49">
        <f>IF(ISBLANK(TechData!J22),"",TechData!J22)</f>
        <v>-3.4965859567384681</v>
      </c>
      <c r="I19" s="49">
        <f>IF(ISBLANK(TechData!K22),"",TechData!K22)</f>
        <v>-2.9303888687790449</v>
      </c>
      <c r="J19" s="49">
        <f>IF(ISBLANK(TechData!L22),"",TechData!L22)</f>
        <v>-5.7120253506207757</v>
      </c>
      <c r="K19" s="49" t="str">
        <f>IF(ISBLANK(TechData!M22),"",TechData!M22)</f>
        <v/>
      </c>
    </row>
    <row r="20" spans="1:11" x14ac:dyDescent="0.2">
      <c r="A20" s="48">
        <v>12</v>
      </c>
      <c r="B20" s="49">
        <f>IF(ISBLANK(TechData!D24),"",TechData!D24)</f>
        <v>-2.575315755385124</v>
      </c>
      <c r="C20" s="49">
        <f>IF(ISBLANK(TechData!E24),"",TechData!E24)</f>
        <v>-2.3940094381938399</v>
      </c>
      <c r="D20" s="49">
        <f>IF(ISBLANK(TechData!F24),"",TechData!F24)</f>
        <v>-3.2460973417140138</v>
      </c>
      <c r="E20" s="49" t="str">
        <f>IF(ISBLANK(TechData!G24),"",TechData!G24)</f>
        <v/>
      </c>
      <c r="F20" s="49">
        <f>IF(ISBLANK(TechData!H24),"",TechData!H24)</f>
        <v>-2.0992651788447874</v>
      </c>
      <c r="G20" s="49" t="str">
        <f>IF(ISBLANK(TechData!I24),"",TechData!I24)</f>
        <v/>
      </c>
      <c r="H20" s="49">
        <f>IF(ISBLANK(TechData!J24),"",TechData!J24)</f>
        <v>-3.5365102481782724</v>
      </c>
      <c r="I20" s="49">
        <f>IF(ISBLANK(TechData!K24),"",TechData!K24)</f>
        <v>-2.9541686370899578</v>
      </c>
      <c r="J20" s="49">
        <f>IF(ISBLANK(TechData!L24),"",TechData!L24)</f>
        <v>-5.7353077922444919</v>
      </c>
      <c r="K20" s="49" t="str">
        <f>IF(ISBLANK(TechData!M24),"",TechData!M24)</f>
        <v/>
      </c>
    </row>
    <row r="22" spans="1:11" x14ac:dyDescent="0.2">
      <c r="A22" s="51" t="s">
        <v>42</v>
      </c>
    </row>
    <row r="23" spans="1:11" x14ac:dyDescent="0.2">
      <c r="A23" s="48">
        <f>ABS(SelectionData!$C$5-SelectionData!$C$4)</f>
        <v>6</v>
      </c>
    </row>
    <row r="24" spans="1:11" x14ac:dyDescent="0.2">
      <c r="A24" s="48" t="s">
        <v>48</v>
      </c>
      <c r="B24" s="48">
        <f t="shared" ref="B24" ca="1" si="0">IF(B9="","",IF($A$23&lt;4,4,IF($A$23&gt;12,10,OFFSET($A$9,MATCH($A$23,$A$9:$A$13)-1,0))))</f>
        <v>6</v>
      </c>
      <c r="C24" s="48">
        <f t="shared" ref="C24:D24" ca="1" si="1">IF(C9="","",IF($A$23&lt;4,4,IF($A$23&gt;12,10,OFFSET($A$9,MATCH($A$23,$A$9:$A$13)-1,0))))</f>
        <v>6</v>
      </c>
      <c r="D24" s="48">
        <f t="shared" ca="1" si="1"/>
        <v>6</v>
      </c>
      <c r="E24" s="48" t="str">
        <f t="shared" ref="E24:K24" ca="1" si="2">IF(E9="","",IF($A$23&lt;4,4,IF($A$23&gt;12,10,OFFSET($A$9,MATCH($A$23,$A$9:$A$13)-1,0))))</f>
        <v/>
      </c>
      <c r="F24" s="48">
        <f t="shared" ca="1" si="2"/>
        <v>6</v>
      </c>
      <c r="G24" s="48" t="str">
        <f t="shared" ca="1" si="2"/>
        <v/>
      </c>
      <c r="H24" s="48">
        <f t="shared" ca="1" si="2"/>
        <v>6</v>
      </c>
      <c r="I24" s="48">
        <f t="shared" ca="1" si="2"/>
        <v>6</v>
      </c>
      <c r="J24" s="48">
        <f t="shared" ca="1" si="2"/>
        <v>6</v>
      </c>
      <c r="K24" s="48" t="str">
        <f t="shared" ca="1" si="2"/>
        <v/>
      </c>
    </row>
    <row r="25" spans="1:11" x14ac:dyDescent="0.2">
      <c r="A25" s="48" t="s">
        <v>47</v>
      </c>
      <c r="B25" s="48">
        <f t="shared" ref="B25" ca="1" si="3">IF(B9="","",IF($A$23&lt;4,6,IF($A$23&gt;12,12,OFFSET($A$9,MATCH($A$23,$A$9:$A$13),0))))</f>
        <v>8</v>
      </c>
      <c r="C25" s="48">
        <f t="shared" ref="C25:D25" ca="1" si="4">IF(C9="","",IF($A$23&lt;4,6,IF($A$23&gt;12,12,OFFSET($A$9,MATCH($A$23,$A$9:$A$13),0))))</f>
        <v>8</v>
      </c>
      <c r="D25" s="48">
        <f t="shared" ca="1" si="4"/>
        <v>8</v>
      </c>
      <c r="E25" s="48" t="str">
        <f t="shared" ref="E25:K25" ca="1" si="5">IF(E9="","",IF($A$23&lt;4,6,IF($A$23&gt;12,12,OFFSET($A$9,MATCH($A$23,$A$9:$A$13),0))))</f>
        <v/>
      </c>
      <c r="F25" s="48">
        <f t="shared" ca="1" si="5"/>
        <v>8</v>
      </c>
      <c r="G25" s="48" t="str">
        <f t="shared" ca="1" si="5"/>
        <v/>
      </c>
      <c r="H25" s="48">
        <f t="shared" ca="1" si="5"/>
        <v>8</v>
      </c>
      <c r="I25" s="48">
        <f t="shared" ca="1" si="5"/>
        <v>8</v>
      </c>
      <c r="J25" s="48">
        <f t="shared" ca="1" si="5"/>
        <v>8</v>
      </c>
      <c r="K25" s="48" t="str">
        <f t="shared" ca="1" si="5"/>
        <v/>
      </c>
    </row>
    <row r="26" spans="1:11" x14ac:dyDescent="0.2">
      <c r="A26" s="48" t="s">
        <v>43</v>
      </c>
      <c r="B26" s="48">
        <f t="shared" ref="B26" ca="1" si="6">IF(B9="","",IF($A$23&lt;4,B9,IF($A$23&gt;12,B12,OFFSET(B$9,MATCH($A$23,$A$9:$A$13)-1,0))))</f>
        <v>1.4343883877099726</v>
      </c>
      <c r="C26" s="48">
        <f t="shared" ref="C26:D26" ca="1" si="7">IF(C9="","",IF($A$23&lt;4,C9,IF($A$23&gt;12,C12,OFFSET(C$9,MATCH($A$23,$A$9:$A$13)-1,0))))</f>
        <v>1.2675491964105008</v>
      </c>
      <c r="D26" s="48">
        <f t="shared" ca="1" si="7"/>
        <v>1.5274887696441908</v>
      </c>
      <c r="E26" s="48" t="str">
        <f t="shared" ref="E26:K26" ca="1" si="8">IF(E9="","",IF($A$23&lt;4,E9,IF($A$23&gt;12,E12,OFFSET(E$9,MATCH($A$23,$A$9:$A$13)-1,0))))</f>
        <v/>
      </c>
      <c r="F26" s="48">
        <f t="shared" ca="1" si="8"/>
        <v>1.0220490625245691</v>
      </c>
      <c r="G26" s="48" t="str">
        <f t="shared" ca="1" si="8"/>
        <v/>
      </c>
      <c r="H26" s="48">
        <f t="shared" ca="1" si="8"/>
        <v>1.4599828850388115</v>
      </c>
      <c r="I26" s="48">
        <f t="shared" ca="1" si="8"/>
        <v>1.2612805869975887</v>
      </c>
      <c r="J26" s="48">
        <f t="shared" ca="1" si="8"/>
        <v>2.224061253758197</v>
      </c>
      <c r="K26" s="48" t="str">
        <f t="shared" ca="1" si="8"/>
        <v/>
      </c>
    </row>
    <row r="27" spans="1:11" x14ac:dyDescent="0.2">
      <c r="A27" s="48" t="s">
        <v>44</v>
      </c>
      <c r="B27" s="48">
        <f t="shared" ref="B27" ca="1" si="9">IF(B9="","",IF($A$23&lt;4,B10,IF($A$23&gt;12,B13,OFFSET(B$9,MATCH($A$23,$A$9:$A$13),0))))</f>
        <v>1.4343883877099726</v>
      </c>
      <c r="C27" s="48">
        <f t="shared" ref="C27:D27" ca="1" si="10">IF(C9="","",IF($A$23&lt;4,C10,IF($A$23&gt;12,C13,OFFSET(C$9,MATCH($A$23,$A$9:$A$13),0))))</f>
        <v>1.2675491964105008</v>
      </c>
      <c r="D27" s="48">
        <f t="shared" ca="1" si="10"/>
        <v>1.5274887696441908</v>
      </c>
      <c r="E27" s="48" t="str">
        <f t="shared" ref="E27:K27" ca="1" si="11">IF(E9="","",IF($A$23&lt;4,E10,IF($A$23&gt;12,E13,OFFSET(E$9,MATCH($A$23,$A$9:$A$13),0))))</f>
        <v/>
      </c>
      <c r="F27" s="48">
        <f t="shared" ca="1" si="11"/>
        <v>1.0220490625245691</v>
      </c>
      <c r="G27" s="48" t="str">
        <f t="shared" ca="1" si="11"/>
        <v/>
      </c>
      <c r="H27" s="48">
        <f t="shared" ca="1" si="11"/>
        <v>1.4599828850388115</v>
      </c>
      <c r="I27" s="48">
        <f t="shared" ca="1" si="11"/>
        <v>1.2612805869975887</v>
      </c>
      <c r="J27" s="48">
        <f t="shared" ca="1" si="11"/>
        <v>2.224061253758197</v>
      </c>
      <c r="K27" s="48" t="str">
        <f t="shared" ca="1" si="11"/>
        <v/>
      </c>
    </row>
    <row r="28" spans="1:11" x14ac:dyDescent="0.2">
      <c r="A28" s="48" t="s">
        <v>45</v>
      </c>
      <c r="B28" s="48">
        <f t="shared" ref="B28" ca="1" si="12">IF(B16="","",IF($A$23&lt;4,B16,IF($A$23&gt;12,B19,OFFSET(B$16,MATCH($A$23,$A$16:$A$20)-1,0))))</f>
        <v>-2.575315755385124</v>
      </c>
      <c r="C28" s="48">
        <f t="shared" ref="C28:D28" ca="1" si="13">IF(C16="","",IF($A$23&lt;4,C16,IF($A$23&gt;12,C19,OFFSET(C$16,MATCH($A$23,$A$16:$A$20)-1,0))))</f>
        <v>-2.1038893580332347</v>
      </c>
      <c r="D28" s="48">
        <f t="shared" ca="1" si="13"/>
        <v>-2.9179021921224595</v>
      </c>
      <c r="E28" s="48" t="str">
        <f t="shared" ref="E28:K28" ca="1" si="14">IF(E16="","",IF($A$23&lt;4,E16,IF($A$23&gt;12,E19,OFFSET(E$16,MATCH($A$23,$A$16:$A$20)-1,0))))</f>
        <v/>
      </c>
      <c r="F28" s="48">
        <f t="shared" ca="1" si="14"/>
        <v>-1.7139428944541497</v>
      </c>
      <c r="G28" s="48" t="str">
        <f t="shared" ca="1" si="14"/>
        <v/>
      </c>
      <c r="H28" s="48">
        <f t="shared" ca="1" si="14"/>
        <v>-3.3847267150954119</v>
      </c>
      <c r="I28" s="48">
        <f t="shared" ca="1" si="14"/>
        <v>-2.8637630939993755</v>
      </c>
      <c r="J28" s="48">
        <f t="shared" ca="1" si="14"/>
        <v>-5.6467929778044841</v>
      </c>
      <c r="K28" s="48" t="str">
        <f t="shared" ca="1" si="14"/>
        <v/>
      </c>
    </row>
    <row r="29" spans="1:11" x14ac:dyDescent="0.2">
      <c r="A29" s="48" t="s">
        <v>46</v>
      </c>
      <c r="B29" s="48">
        <f t="shared" ref="B29" ca="1" si="15">IF(B16="","",IF($A$23&lt;4,B17,IF($A$23&gt;12,B20,OFFSET(B$16,MATCH($A$23,$A$16:$A$20),0))))</f>
        <v>-2.575315755385124</v>
      </c>
      <c r="C29" s="48">
        <f t="shared" ref="C29:D29" ca="1" si="16">IF(C16="","",IF($A$23&lt;4,C17,IF($A$23&gt;12,C20,OFFSET(C$16,MATCH($A$23,$A$16:$A$20),0))))</f>
        <v>-2.22430007059367</v>
      </c>
      <c r="D29" s="48">
        <f t="shared" ca="1" si="16"/>
        <v>-3.0541154862843842</v>
      </c>
      <c r="E29" s="48" t="str">
        <f t="shared" ref="E29:K29" ca="1" si="17">IF(E16="","",IF($A$23&lt;4,E17,IF($A$23&gt;12,E20,OFFSET(E$16,MATCH($A$23,$A$16:$A$20),0))))</f>
        <v/>
      </c>
      <c r="F29" s="48">
        <f t="shared" ca="1" si="17"/>
        <v>-1.8738660917840515</v>
      </c>
      <c r="G29" s="48" t="str">
        <f t="shared" ca="1" si="17"/>
        <v/>
      </c>
      <c r="H29" s="48">
        <f t="shared" ca="1" si="17"/>
        <v>-3.4477225730978298</v>
      </c>
      <c r="I29" s="48">
        <f t="shared" ca="1" si="17"/>
        <v>-2.9012847845246368</v>
      </c>
      <c r="J29" s="48">
        <f t="shared" ca="1" si="17"/>
        <v>-5.6835299450387957</v>
      </c>
      <c r="K29" s="48" t="str">
        <f t="shared" ca="1" si="17"/>
        <v/>
      </c>
    </row>
  </sheetData>
  <sheetProtection algorithmName="SHA-512" hashValue="1CEIH1NJ4EDgw3ja7sAEApIddClSSJh7/33ffzP2SukbMcfgH7cMLBMQRGolOQiOlsWI/80OurtcxiU/FKJvbg==" saltValue="yCwPGB+LDgZJGFO9PyiAf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CD48654B54554390186499E0651E86" ma:contentTypeVersion="13" ma:contentTypeDescription="Een nieuw document maken." ma:contentTypeScope="" ma:versionID="2693037b40dbc0aba88f076a90625d11">
  <xsd:schema xmlns:xsd="http://www.w3.org/2001/XMLSchema" xmlns:xs="http://www.w3.org/2001/XMLSchema" xmlns:p="http://schemas.microsoft.com/office/2006/metadata/properties" xmlns:ns2="c7f60283-def7-45c8-be52-19224b596703" xmlns:ns3="bd92be4b-0569-4231-8051-a959b5c34410" targetNamespace="http://schemas.microsoft.com/office/2006/metadata/properties" ma:root="true" ma:fieldsID="132679c65db04140e8622df00b1d8308" ns2:_="" ns3:_="">
    <xsd:import namespace="c7f60283-def7-45c8-be52-19224b596703"/>
    <xsd:import namespace="bd92be4b-0569-4231-8051-a959b5c344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f60283-def7-45c8-be52-19224b5967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Afbeeldingtags" ma:readOnly="false" ma:fieldId="{5cf76f15-5ced-4ddc-b409-7134ff3c332f}" ma:taxonomyMulti="true" ma:sspId="a1573c2d-6d88-44c3-a7aa-88974e2204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92be4b-0569-4231-8051-a959b5c34410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e9f9c21-2630-41f5-b49d-0a4762a86870}" ma:internalName="TaxCatchAll" ma:showField="CatchAllData" ma:web="bd92be4b-0569-4231-8051-a959b5c344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D763C1-5705-4C1A-BD36-0314BEB6121C}"/>
</file>

<file path=customXml/itemProps2.xml><?xml version="1.0" encoding="utf-8"?>
<ds:datastoreItem xmlns:ds="http://schemas.openxmlformats.org/officeDocument/2006/customXml" ds:itemID="{F0D19582-FAF0-4223-93BC-368F192780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SelectionData</vt:lpstr>
      <vt:lpstr>units</vt:lpstr>
      <vt:lpstr>TechData</vt:lpstr>
      <vt:lpstr>IntermediateCalcul</vt:lpstr>
      <vt:lpstr>units</vt:lpstr>
    </vt:vector>
  </TitlesOfParts>
  <Company>Grada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De Clercq</dc:creator>
  <cp:lastModifiedBy>Keith Van de Wiele</cp:lastModifiedBy>
  <cp:lastPrinted>2015-11-20T12:25:03Z</cp:lastPrinted>
  <dcterms:created xsi:type="dcterms:W3CDTF">2015-05-07T08:41:20Z</dcterms:created>
  <dcterms:modified xsi:type="dcterms:W3CDTF">2023-05-25T12:15:35Z</dcterms:modified>
</cp:coreProperties>
</file>